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ee\Desktop\"/>
    </mc:Choice>
  </mc:AlternateContent>
  <bookViews>
    <workbookView xWindow="720" yWindow="315" windowWidth="18075" windowHeight="11595" tabRatio="703" activeTab="3"/>
  </bookViews>
  <sheets>
    <sheet name="SKT lte요금제" sheetId="3" r:id="rId1"/>
    <sheet name="KT lte요금제" sheetId="1" r:id="rId2"/>
    <sheet name="LG U+ lte요금제" sheetId="2" r:id="rId3"/>
    <sheet name="3사 추천요금제" sheetId="7" r:id="rId4"/>
    <sheet name="참고-SKT" sheetId="9" r:id="rId5"/>
    <sheet name="참고-KT" sheetId="10" r:id="rId6"/>
    <sheet name="참고-LG U+" sheetId="11" r:id="rId7"/>
  </sheets>
  <externalReferences>
    <externalReference r:id="rId8"/>
  </externalReferences>
  <definedNames>
    <definedName name="온가족할인" localSheetId="3">#REF!</definedName>
    <definedName name="온가족할인" localSheetId="2">#REF!</definedName>
    <definedName name="온가족할인" localSheetId="0">[1]월별요금합!$F$27:$F$31</definedName>
    <definedName name="온가족할인" localSheetId="5">#REF!</definedName>
    <definedName name="온가족할인" localSheetId="6">#REF!</definedName>
    <definedName name="온가족할인" localSheetId="4">[1]월별요금합!$F$27:$F$31</definedName>
    <definedName name="온가족할인">#REF!</definedName>
    <definedName name="요금제" localSheetId="3">#REF!</definedName>
    <definedName name="요금제" localSheetId="2">#REF!</definedName>
    <definedName name="요금제" localSheetId="0">[1]참고!$B$6:$B$85</definedName>
    <definedName name="요금제" localSheetId="5">#REF!</definedName>
    <definedName name="요금제" localSheetId="6">#REF!</definedName>
    <definedName name="요금제" localSheetId="4">[1]참고!$B$6:$B$85</definedName>
    <definedName name="요금제">#REF!</definedName>
    <definedName name="할인목록" localSheetId="3">#REF!</definedName>
    <definedName name="할인목록" localSheetId="2">#REF!</definedName>
    <definedName name="할인목록" localSheetId="0">[1]월별요금합!$C$27:$C$37</definedName>
    <definedName name="할인목록" localSheetId="5">#REF!</definedName>
    <definedName name="할인목록" localSheetId="6">#REF!</definedName>
    <definedName name="할인목록" localSheetId="4">[1]월별요금합!$C$27:$C$37</definedName>
    <definedName name="할인목록">#REF!</definedName>
  </definedNames>
  <calcPr calcId="152511"/>
</workbook>
</file>

<file path=xl/calcChain.xml><?xml version="1.0" encoding="utf-8"?>
<calcChain xmlns="http://schemas.openxmlformats.org/spreadsheetml/2006/main">
  <c r="B14" i="7" l="1"/>
  <c r="G14" i="7"/>
  <c r="D37" i="7"/>
  <c r="D28" i="7"/>
  <c r="D19" i="7" l="1"/>
  <c r="N12" i="11"/>
  <c r="N11" i="11"/>
  <c r="N10" i="11"/>
  <c r="N9" i="11"/>
  <c r="N8" i="11"/>
  <c r="F12" i="11"/>
  <c r="F11" i="11"/>
  <c r="F10" i="11"/>
  <c r="F9" i="11"/>
  <c r="F8" i="11"/>
  <c r="I39" i="7"/>
  <c r="N12" i="10"/>
  <c r="N11" i="10"/>
  <c r="N10" i="10"/>
  <c r="N9" i="10"/>
  <c r="N8" i="10"/>
  <c r="F11" i="10"/>
  <c r="F10" i="10"/>
  <c r="F9" i="10"/>
  <c r="F8" i="10"/>
  <c r="I30" i="7"/>
  <c r="I21" i="7"/>
  <c r="N12" i="9"/>
  <c r="N11" i="9"/>
  <c r="N10" i="9"/>
  <c r="N9" i="9"/>
  <c r="N8" i="9"/>
  <c r="F12" i="9"/>
  <c r="F11" i="9"/>
  <c r="F10" i="9"/>
  <c r="F9" i="9"/>
  <c r="F8" i="9"/>
  <c r="N74" i="11" l="1"/>
  <c r="L74" i="11"/>
  <c r="K74" i="11"/>
  <c r="I74" i="11"/>
  <c r="J74" i="11" s="1"/>
  <c r="N73" i="11"/>
  <c r="L73" i="11"/>
  <c r="K73" i="11"/>
  <c r="I73" i="11"/>
  <c r="J73" i="11" s="1"/>
  <c r="P72" i="11"/>
  <c r="N72" i="11"/>
  <c r="L72" i="11"/>
  <c r="K72" i="11"/>
  <c r="I72" i="11"/>
  <c r="G72" i="11"/>
  <c r="P71" i="11"/>
  <c r="N71" i="11"/>
  <c r="L71" i="11"/>
  <c r="K71" i="11"/>
  <c r="I71" i="11"/>
  <c r="G71" i="11"/>
  <c r="P70" i="11"/>
  <c r="N70" i="11"/>
  <c r="L70" i="11"/>
  <c r="K70" i="11"/>
  <c r="I70" i="11"/>
  <c r="G70" i="11"/>
  <c r="S69" i="11"/>
  <c r="T69" i="11" s="1"/>
  <c r="P69" i="11"/>
  <c r="N69" i="11" s="1"/>
  <c r="L69" i="11"/>
  <c r="K69" i="11"/>
  <c r="I69" i="11"/>
  <c r="G69" i="11"/>
  <c r="S68" i="11"/>
  <c r="T68" i="11" s="1"/>
  <c r="P68" i="11"/>
  <c r="N68" i="11" s="1"/>
  <c r="L68" i="11"/>
  <c r="K68" i="11"/>
  <c r="I68" i="11"/>
  <c r="G68" i="11"/>
  <c r="S67" i="11"/>
  <c r="T67" i="11" s="1"/>
  <c r="P67" i="11"/>
  <c r="N67" i="11" s="1"/>
  <c r="L67" i="11"/>
  <c r="K67" i="11"/>
  <c r="I67" i="11"/>
  <c r="G67" i="11"/>
  <c r="P66" i="11"/>
  <c r="N66" i="11"/>
  <c r="L66" i="11"/>
  <c r="K66" i="11"/>
  <c r="I66" i="11"/>
  <c r="G66" i="11"/>
  <c r="P65" i="11"/>
  <c r="N65" i="11"/>
  <c r="L65" i="11"/>
  <c r="K65" i="11"/>
  <c r="I65" i="11"/>
  <c r="G65" i="11"/>
  <c r="P64" i="11"/>
  <c r="N64" i="11"/>
  <c r="L64" i="11"/>
  <c r="K64" i="11"/>
  <c r="I64" i="11"/>
  <c r="G64" i="11"/>
  <c r="S63" i="11"/>
  <c r="T63" i="11" s="1"/>
  <c r="P63" i="11"/>
  <c r="N63" i="11" s="1"/>
  <c r="L63" i="11"/>
  <c r="K63" i="11"/>
  <c r="I63" i="11"/>
  <c r="G63" i="11"/>
  <c r="S62" i="11"/>
  <c r="T62" i="11" s="1"/>
  <c r="P62" i="11"/>
  <c r="N62" i="11" s="1"/>
  <c r="L62" i="11"/>
  <c r="K62" i="11"/>
  <c r="I62" i="11"/>
  <c r="G62" i="11"/>
  <c r="S61" i="11"/>
  <c r="T61" i="11" s="1"/>
  <c r="P61" i="11"/>
  <c r="N61" i="11" s="1"/>
  <c r="L61" i="11"/>
  <c r="K61" i="11"/>
  <c r="I61" i="11"/>
  <c r="G61" i="11"/>
  <c r="P60" i="11"/>
  <c r="N60" i="11"/>
  <c r="L60" i="11"/>
  <c r="K60" i="11"/>
  <c r="I60" i="11"/>
  <c r="G60" i="11"/>
  <c r="P59" i="11"/>
  <c r="N59" i="11"/>
  <c r="L59" i="11"/>
  <c r="K59" i="11"/>
  <c r="I59" i="11"/>
  <c r="G59" i="11"/>
  <c r="P58" i="11"/>
  <c r="N58" i="11"/>
  <c r="L58" i="11"/>
  <c r="K58" i="11"/>
  <c r="I58" i="11"/>
  <c r="G58" i="11"/>
  <c r="S57" i="11"/>
  <c r="T57" i="11" s="1"/>
  <c r="P57" i="11"/>
  <c r="N57" i="11" s="1"/>
  <c r="L57" i="11"/>
  <c r="K57" i="11"/>
  <c r="I57" i="11"/>
  <c r="G57" i="11"/>
  <c r="S56" i="11"/>
  <c r="T56" i="11" s="1"/>
  <c r="P56" i="11"/>
  <c r="N56" i="11" s="1"/>
  <c r="L56" i="11"/>
  <c r="K56" i="11"/>
  <c r="I56" i="11"/>
  <c r="G56" i="11"/>
  <c r="S55" i="11"/>
  <c r="T55" i="11" s="1"/>
  <c r="P55" i="11"/>
  <c r="N55" i="11" s="1"/>
  <c r="L55" i="11"/>
  <c r="K55" i="11"/>
  <c r="I55" i="11"/>
  <c r="G55" i="11"/>
  <c r="P54" i="11"/>
  <c r="N54" i="11"/>
  <c r="L54" i="11"/>
  <c r="K54" i="11"/>
  <c r="I54" i="11"/>
  <c r="G54" i="11"/>
  <c r="P53" i="11"/>
  <c r="N53" i="11"/>
  <c r="L53" i="11"/>
  <c r="K53" i="11"/>
  <c r="I53" i="11"/>
  <c r="G53" i="11"/>
  <c r="P52" i="11"/>
  <c r="N52" i="11" s="1"/>
  <c r="L52" i="11"/>
  <c r="K52" i="11"/>
  <c r="I52" i="11"/>
  <c r="G52" i="11"/>
  <c r="S51" i="11"/>
  <c r="T51" i="11" s="1"/>
  <c r="P51" i="11"/>
  <c r="N51" i="11" s="1"/>
  <c r="L51" i="11"/>
  <c r="K51" i="11"/>
  <c r="I51" i="11"/>
  <c r="G51" i="11"/>
  <c r="S50" i="11"/>
  <c r="T50" i="11" s="1"/>
  <c r="P50" i="11"/>
  <c r="N50" i="11" s="1"/>
  <c r="L50" i="11"/>
  <c r="K50" i="11"/>
  <c r="I50" i="11"/>
  <c r="G50" i="11"/>
  <c r="S49" i="11"/>
  <c r="T49" i="11" s="1"/>
  <c r="P49" i="11"/>
  <c r="N49" i="11" s="1"/>
  <c r="L49" i="11"/>
  <c r="K49" i="11"/>
  <c r="I49" i="11"/>
  <c r="G49" i="11"/>
  <c r="W48" i="11"/>
  <c r="P48" i="11"/>
  <c r="N48" i="11"/>
  <c r="L48" i="11"/>
  <c r="K48" i="11"/>
  <c r="I48" i="11"/>
  <c r="J48" i="11" s="1"/>
  <c r="B48" i="11"/>
  <c r="R48" i="11" s="1"/>
  <c r="W47" i="11"/>
  <c r="P47" i="11"/>
  <c r="N47" i="11"/>
  <c r="L47" i="11"/>
  <c r="K47" i="11"/>
  <c r="I47" i="11"/>
  <c r="J47" i="11" s="1"/>
  <c r="B47" i="11"/>
  <c r="R47" i="11" s="1"/>
  <c r="W46" i="11"/>
  <c r="P46" i="11"/>
  <c r="N46" i="11"/>
  <c r="L46" i="11"/>
  <c r="K46" i="11"/>
  <c r="I46" i="11"/>
  <c r="J46" i="11" s="1"/>
  <c r="B46" i="11"/>
  <c r="R46" i="11" s="1"/>
  <c r="W45" i="11"/>
  <c r="P45" i="11"/>
  <c r="N45" i="11"/>
  <c r="L45" i="11"/>
  <c r="K45" i="11"/>
  <c r="I45" i="11"/>
  <c r="J45" i="11" s="1"/>
  <c r="B45" i="11"/>
  <c r="R45" i="11" s="1"/>
  <c r="W44" i="11"/>
  <c r="P44" i="11"/>
  <c r="N44" i="11"/>
  <c r="L44" i="11"/>
  <c r="K44" i="11"/>
  <c r="I44" i="11"/>
  <c r="J44" i="11" s="1"/>
  <c r="B44" i="11"/>
  <c r="R44" i="11" s="1"/>
  <c r="W43" i="11"/>
  <c r="P43" i="11"/>
  <c r="N43" i="11" s="1"/>
  <c r="L43" i="11"/>
  <c r="K43" i="11"/>
  <c r="I43" i="11"/>
  <c r="J43" i="11" s="1"/>
  <c r="B43" i="11"/>
  <c r="R43" i="11" s="1"/>
  <c r="P42" i="11"/>
  <c r="N42" i="11" s="1"/>
  <c r="K42" i="11"/>
  <c r="I42" i="11"/>
  <c r="J42" i="11" s="1"/>
  <c r="P41" i="11"/>
  <c r="N41" i="11" s="1"/>
  <c r="K41" i="11"/>
  <c r="I41" i="11"/>
  <c r="J41" i="11" s="1"/>
  <c r="S40" i="11"/>
  <c r="T40" i="11" s="1"/>
  <c r="P40" i="11"/>
  <c r="N40" i="11" s="1"/>
  <c r="K40" i="11"/>
  <c r="I40" i="11"/>
  <c r="J40" i="11" s="1"/>
  <c r="P39" i="11"/>
  <c r="N39" i="11"/>
  <c r="L39" i="11"/>
  <c r="K39" i="11"/>
  <c r="I39" i="11"/>
  <c r="J39" i="11" s="1"/>
  <c r="P38" i="11"/>
  <c r="N38" i="11"/>
  <c r="L38" i="11"/>
  <c r="K38" i="11"/>
  <c r="I38" i="11"/>
  <c r="J38" i="11" s="1"/>
  <c r="P37" i="11"/>
  <c r="N37" i="11"/>
  <c r="L37" i="11"/>
  <c r="K37" i="11"/>
  <c r="I37" i="11"/>
  <c r="J37" i="11" s="1"/>
  <c r="P36" i="11"/>
  <c r="N36" i="11"/>
  <c r="L36" i="11"/>
  <c r="K36" i="11"/>
  <c r="I36" i="11"/>
  <c r="J36" i="11" s="1"/>
  <c r="N35" i="11"/>
  <c r="L35" i="11"/>
  <c r="K35" i="11"/>
  <c r="I35" i="11"/>
  <c r="J35" i="11" s="1"/>
  <c r="P34" i="11"/>
  <c r="N34" i="11" s="1"/>
  <c r="L34" i="11"/>
  <c r="K34" i="11"/>
  <c r="I34" i="11"/>
  <c r="J34" i="11" s="1"/>
  <c r="P33" i="11"/>
  <c r="N33" i="11" s="1"/>
  <c r="L33" i="11"/>
  <c r="K33" i="11"/>
  <c r="I33" i="11"/>
  <c r="J33" i="11" s="1"/>
  <c r="S32" i="11"/>
  <c r="T32" i="11" s="1"/>
  <c r="P32" i="11"/>
  <c r="N32" i="11" s="1"/>
  <c r="L32" i="11"/>
  <c r="K32" i="11"/>
  <c r="I32" i="11"/>
  <c r="J32" i="11" s="1"/>
  <c r="N31" i="11"/>
  <c r="L31" i="11"/>
  <c r="K31" i="11"/>
  <c r="I31" i="11"/>
  <c r="J31" i="11" s="1"/>
  <c r="P30" i="11"/>
  <c r="N30" i="11"/>
  <c r="L30" i="11"/>
  <c r="K30" i="11"/>
  <c r="I30" i="11"/>
  <c r="J30" i="11" s="1"/>
  <c r="P29" i="11"/>
  <c r="N29" i="11"/>
  <c r="K29" i="11"/>
  <c r="I29" i="11"/>
  <c r="J29" i="11" s="1"/>
  <c r="P28" i="11"/>
  <c r="N28" i="11"/>
  <c r="K28" i="11"/>
  <c r="I28" i="11"/>
  <c r="J28" i="11" s="1"/>
  <c r="P27" i="11"/>
  <c r="N27" i="11"/>
  <c r="K27" i="11"/>
  <c r="I27" i="11"/>
  <c r="J27" i="11" s="1"/>
  <c r="P26" i="11"/>
  <c r="N26" i="11" s="1"/>
  <c r="K26" i="11"/>
  <c r="I26" i="11"/>
  <c r="J26" i="11" s="1"/>
  <c r="P25" i="11"/>
  <c r="N25" i="11" s="1"/>
  <c r="K25" i="11"/>
  <c r="I25" i="11"/>
  <c r="J25" i="11" s="1"/>
  <c r="S24" i="11"/>
  <c r="T24" i="11" s="1"/>
  <c r="P24" i="11"/>
  <c r="N24" i="11" s="1"/>
  <c r="K24" i="11"/>
  <c r="I24" i="11"/>
  <c r="J24" i="11" s="1"/>
  <c r="M23" i="11"/>
  <c r="M15" i="11" s="1"/>
  <c r="L39" i="7" s="1"/>
  <c r="I23" i="11"/>
  <c r="I15" i="11" s="1"/>
  <c r="H39" i="7" s="1"/>
  <c r="D21" i="11"/>
  <c r="M14" i="11"/>
  <c r="P13" i="11"/>
  <c r="P12" i="11"/>
  <c r="H12" i="11"/>
  <c r="K11" i="11"/>
  <c r="I9" i="11"/>
  <c r="H9" i="11"/>
  <c r="I8" i="11"/>
  <c r="H8" i="11"/>
  <c r="N88" i="10"/>
  <c r="L88" i="10"/>
  <c r="K88" i="10"/>
  <c r="I88" i="10"/>
  <c r="J88" i="10" s="1"/>
  <c r="N87" i="10"/>
  <c r="L87" i="10"/>
  <c r="K87" i="10"/>
  <c r="I87" i="10"/>
  <c r="J87" i="10" s="1"/>
  <c r="N86" i="10"/>
  <c r="L86" i="10"/>
  <c r="K86" i="10"/>
  <c r="I86" i="10"/>
  <c r="J86" i="10" s="1"/>
  <c r="N85" i="10"/>
  <c r="L85" i="10"/>
  <c r="K85" i="10"/>
  <c r="I85" i="10"/>
  <c r="J85" i="10" s="1"/>
  <c r="N84" i="10"/>
  <c r="L84" i="10"/>
  <c r="K84" i="10"/>
  <c r="I84" i="10"/>
  <c r="J84" i="10" s="1"/>
  <c r="P83" i="10"/>
  <c r="N83" i="10"/>
  <c r="L83" i="10"/>
  <c r="K83" i="10"/>
  <c r="I83" i="10"/>
  <c r="J83" i="10" s="1"/>
  <c r="P82" i="10"/>
  <c r="N82" i="10"/>
  <c r="L82" i="10"/>
  <c r="K82" i="10"/>
  <c r="I82" i="10"/>
  <c r="J82" i="10" s="1"/>
  <c r="P81" i="10"/>
  <c r="N81" i="10"/>
  <c r="L81" i="10"/>
  <c r="K81" i="10"/>
  <c r="I81" i="10"/>
  <c r="J81" i="10" s="1"/>
  <c r="P80" i="10"/>
  <c r="N80" i="10"/>
  <c r="L80" i="10"/>
  <c r="K80" i="10"/>
  <c r="I80" i="10"/>
  <c r="J80" i="10" s="1"/>
  <c r="P79" i="10"/>
  <c r="N79" i="10" s="1"/>
  <c r="L79" i="10"/>
  <c r="K79" i="10"/>
  <c r="I79" i="10"/>
  <c r="J79" i="10" s="1"/>
  <c r="S78" i="10"/>
  <c r="T78" i="10" s="1"/>
  <c r="P78" i="10"/>
  <c r="N78" i="10" s="1"/>
  <c r="L78" i="10"/>
  <c r="K78" i="10"/>
  <c r="I78" i="10"/>
  <c r="J78" i="10" s="1"/>
  <c r="P77" i="10"/>
  <c r="N77" i="10"/>
  <c r="L77" i="10"/>
  <c r="K77" i="10"/>
  <c r="I77" i="10"/>
  <c r="J77" i="10" s="1"/>
  <c r="P76" i="10"/>
  <c r="N76" i="10"/>
  <c r="L76" i="10"/>
  <c r="K76" i="10"/>
  <c r="I76" i="10"/>
  <c r="J76" i="10" s="1"/>
  <c r="P75" i="10"/>
  <c r="N75" i="10"/>
  <c r="L75" i="10"/>
  <c r="K75" i="10"/>
  <c r="I75" i="10"/>
  <c r="J75" i="10" s="1"/>
  <c r="P74" i="10"/>
  <c r="N74" i="10"/>
  <c r="L74" i="10"/>
  <c r="K74" i="10"/>
  <c r="I74" i="10"/>
  <c r="J74" i="10" s="1"/>
  <c r="P73" i="10"/>
  <c r="N73" i="10" s="1"/>
  <c r="L73" i="10"/>
  <c r="K73" i="10"/>
  <c r="I73" i="10"/>
  <c r="J73" i="10" s="1"/>
  <c r="S72" i="10"/>
  <c r="T72" i="10" s="1"/>
  <c r="P72" i="10"/>
  <c r="N72" i="10" s="1"/>
  <c r="L72" i="10"/>
  <c r="K72" i="10"/>
  <c r="I72" i="10"/>
  <c r="J72" i="10" s="1"/>
  <c r="P71" i="10"/>
  <c r="N71" i="10"/>
  <c r="L71" i="10"/>
  <c r="K71" i="10"/>
  <c r="I71" i="10"/>
  <c r="J71" i="10" s="1"/>
  <c r="P70" i="10"/>
  <c r="N70" i="10"/>
  <c r="L70" i="10"/>
  <c r="K70" i="10"/>
  <c r="I70" i="10"/>
  <c r="J70" i="10" s="1"/>
  <c r="P69" i="10"/>
  <c r="N69" i="10"/>
  <c r="L69" i="10"/>
  <c r="K69" i="10"/>
  <c r="I69" i="10"/>
  <c r="J69" i="10" s="1"/>
  <c r="P68" i="10"/>
  <c r="N68" i="10"/>
  <c r="L68" i="10"/>
  <c r="K68" i="10"/>
  <c r="I68" i="10"/>
  <c r="J68" i="10" s="1"/>
  <c r="P67" i="10"/>
  <c r="N67" i="10" s="1"/>
  <c r="L67" i="10"/>
  <c r="K67" i="10"/>
  <c r="I67" i="10"/>
  <c r="J67" i="10" s="1"/>
  <c r="S66" i="10"/>
  <c r="T66" i="10" s="1"/>
  <c r="P66" i="10"/>
  <c r="N66" i="10" s="1"/>
  <c r="L66" i="10"/>
  <c r="K66" i="10"/>
  <c r="I66" i="10"/>
  <c r="J66" i="10" s="1"/>
  <c r="P65" i="10"/>
  <c r="N65" i="10"/>
  <c r="L65" i="10"/>
  <c r="K65" i="10"/>
  <c r="I65" i="10"/>
  <c r="J65" i="10" s="1"/>
  <c r="P64" i="10"/>
  <c r="N64" i="10"/>
  <c r="L64" i="10"/>
  <c r="K64" i="10"/>
  <c r="I64" i="10"/>
  <c r="J64" i="10" s="1"/>
  <c r="P63" i="10"/>
  <c r="N63" i="10"/>
  <c r="L63" i="10"/>
  <c r="K63" i="10"/>
  <c r="I63" i="10"/>
  <c r="J63" i="10" s="1"/>
  <c r="P62" i="10"/>
  <c r="N62" i="10"/>
  <c r="L62" i="10"/>
  <c r="K62" i="10"/>
  <c r="I62" i="10"/>
  <c r="J62" i="10" s="1"/>
  <c r="P61" i="10"/>
  <c r="N61" i="10" s="1"/>
  <c r="L61" i="10"/>
  <c r="K61" i="10"/>
  <c r="I61" i="10"/>
  <c r="J61" i="10" s="1"/>
  <c r="S60" i="10"/>
  <c r="T60" i="10" s="1"/>
  <c r="P60" i="10"/>
  <c r="N60" i="10" s="1"/>
  <c r="L60" i="10"/>
  <c r="K60" i="10"/>
  <c r="I60" i="10"/>
  <c r="J60" i="10" s="1"/>
  <c r="P59" i="10"/>
  <c r="N59" i="10"/>
  <c r="L59" i="10"/>
  <c r="K59" i="10"/>
  <c r="I59" i="10"/>
  <c r="J59" i="10" s="1"/>
  <c r="P58" i="10"/>
  <c r="N58" i="10"/>
  <c r="L58" i="10"/>
  <c r="K58" i="10"/>
  <c r="I58" i="10"/>
  <c r="J58" i="10" s="1"/>
  <c r="P57" i="10"/>
  <c r="N57" i="10"/>
  <c r="L57" i="10"/>
  <c r="K57" i="10"/>
  <c r="I57" i="10"/>
  <c r="J57" i="10" s="1"/>
  <c r="P56" i="10"/>
  <c r="N56" i="10"/>
  <c r="L56" i="10"/>
  <c r="K56" i="10"/>
  <c r="I56" i="10"/>
  <c r="J56" i="10" s="1"/>
  <c r="P55" i="10"/>
  <c r="N55" i="10" s="1"/>
  <c r="L55" i="10"/>
  <c r="K55" i="10"/>
  <c r="I55" i="10"/>
  <c r="J55" i="10" s="1"/>
  <c r="S54" i="10"/>
  <c r="T54" i="10" s="1"/>
  <c r="P54" i="10"/>
  <c r="N54" i="10" s="1"/>
  <c r="L54" i="10"/>
  <c r="K54" i="10"/>
  <c r="I54" i="10"/>
  <c r="J54" i="10" s="1"/>
  <c r="W53" i="10"/>
  <c r="N53" i="10"/>
  <c r="L53" i="10"/>
  <c r="I53" i="10"/>
  <c r="J53" i="10" s="1"/>
  <c r="B53" i="10"/>
  <c r="R53" i="10" s="1"/>
  <c r="W52" i="10"/>
  <c r="N52" i="10"/>
  <c r="L52" i="10"/>
  <c r="I52" i="10"/>
  <c r="J52" i="10" s="1"/>
  <c r="B52" i="10"/>
  <c r="R52" i="10" s="1"/>
  <c r="W51" i="10"/>
  <c r="N51" i="10"/>
  <c r="L51" i="10"/>
  <c r="I51" i="10"/>
  <c r="J51" i="10" s="1"/>
  <c r="B51" i="10"/>
  <c r="R51" i="10" s="1"/>
  <c r="W50" i="10"/>
  <c r="N50" i="10"/>
  <c r="L50" i="10"/>
  <c r="K50" i="10"/>
  <c r="I50" i="10"/>
  <c r="J50" i="10" s="1"/>
  <c r="B50" i="10"/>
  <c r="R50" i="10" s="1"/>
  <c r="W49" i="10"/>
  <c r="N49" i="10"/>
  <c r="L49" i="10"/>
  <c r="K49" i="10"/>
  <c r="I49" i="10"/>
  <c r="J49" i="10" s="1"/>
  <c r="B49" i="10"/>
  <c r="R49" i="10" s="1"/>
  <c r="W48" i="10"/>
  <c r="N48" i="10"/>
  <c r="L48" i="10"/>
  <c r="K48" i="10"/>
  <c r="I48" i="10"/>
  <c r="J48" i="10" s="1"/>
  <c r="B48" i="10"/>
  <c r="R48" i="10" s="1"/>
  <c r="P47" i="10"/>
  <c r="N47" i="10"/>
  <c r="L47" i="10"/>
  <c r="K47" i="10"/>
  <c r="I47" i="10"/>
  <c r="J47" i="10" s="1"/>
  <c r="P46" i="10"/>
  <c r="N46" i="10"/>
  <c r="L46" i="10"/>
  <c r="I46" i="10"/>
  <c r="J46" i="10" s="1"/>
  <c r="P45" i="10"/>
  <c r="N45" i="10"/>
  <c r="L45" i="10"/>
  <c r="I45" i="10"/>
  <c r="J45" i="10" s="1"/>
  <c r="P44" i="10"/>
  <c r="N44" i="10"/>
  <c r="L44" i="10"/>
  <c r="I44" i="10"/>
  <c r="J44" i="10" s="1"/>
  <c r="P43" i="10"/>
  <c r="N43" i="10"/>
  <c r="L43" i="10"/>
  <c r="I43" i="10"/>
  <c r="J43" i="10" s="1"/>
  <c r="P42" i="10"/>
  <c r="N42" i="10"/>
  <c r="L42" i="10"/>
  <c r="I42" i="10"/>
  <c r="J42" i="10" s="1"/>
  <c r="P41" i="10"/>
  <c r="N41" i="10"/>
  <c r="L41" i="10"/>
  <c r="K41" i="10"/>
  <c r="I41" i="10"/>
  <c r="J41" i="10" s="1"/>
  <c r="P40" i="10"/>
  <c r="N40" i="10"/>
  <c r="L40" i="10"/>
  <c r="K40" i="10"/>
  <c r="I40" i="10"/>
  <c r="J40" i="10" s="1"/>
  <c r="P39" i="10"/>
  <c r="N39" i="10"/>
  <c r="L39" i="10"/>
  <c r="K39" i="10"/>
  <c r="I39" i="10"/>
  <c r="J39" i="10" s="1"/>
  <c r="P38" i="10"/>
  <c r="N38" i="10" s="1"/>
  <c r="L38" i="10"/>
  <c r="K38" i="10"/>
  <c r="I38" i="10"/>
  <c r="J38" i="10" s="1"/>
  <c r="P37" i="10"/>
  <c r="N37" i="10" s="1"/>
  <c r="L37" i="10"/>
  <c r="K37" i="10"/>
  <c r="I37" i="10"/>
  <c r="J37" i="10" s="1"/>
  <c r="N36" i="10"/>
  <c r="L36" i="10"/>
  <c r="K36" i="10"/>
  <c r="I36" i="10"/>
  <c r="J36" i="10" s="1"/>
  <c r="N35" i="10"/>
  <c r="K35" i="10"/>
  <c r="I35" i="10"/>
  <c r="J35" i="10" s="1"/>
  <c r="P34" i="10"/>
  <c r="N34" i="10"/>
  <c r="K34" i="10"/>
  <c r="I34" i="10"/>
  <c r="J34" i="10" s="1"/>
  <c r="P33" i="10"/>
  <c r="N33" i="10"/>
  <c r="K33" i="10"/>
  <c r="I33" i="10"/>
  <c r="J33" i="10" s="1"/>
  <c r="P32" i="10"/>
  <c r="N32" i="10"/>
  <c r="K32" i="10"/>
  <c r="I32" i="10"/>
  <c r="J32" i="10" s="1"/>
  <c r="P31" i="10"/>
  <c r="N31" i="10"/>
  <c r="L31" i="10"/>
  <c r="K31" i="10"/>
  <c r="I31" i="10"/>
  <c r="J31" i="10" s="1"/>
  <c r="P30" i="10"/>
  <c r="N30" i="10"/>
  <c r="L30" i="10"/>
  <c r="K30" i="10"/>
  <c r="I30" i="10"/>
  <c r="J30" i="10" s="1"/>
  <c r="P29" i="10"/>
  <c r="N29" i="10"/>
  <c r="K29" i="10"/>
  <c r="I29" i="10"/>
  <c r="J29" i="10" s="1"/>
  <c r="P28" i="10"/>
  <c r="N28" i="10"/>
  <c r="K28" i="10"/>
  <c r="I28" i="10"/>
  <c r="J28" i="10" s="1"/>
  <c r="P27" i="10"/>
  <c r="N27" i="10"/>
  <c r="K27" i="10"/>
  <c r="I27" i="10"/>
  <c r="J27" i="10" s="1"/>
  <c r="P26" i="10"/>
  <c r="N26" i="10"/>
  <c r="K26" i="10"/>
  <c r="I26" i="10"/>
  <c r="J26" i="10" s="1"/>
  <c r="P25" i="10"/>
  <c r="N25" i="10" s="1"/>
  <c r="K25" i="10"/>
  <c r="I25" i="10"/>
  <c r="J25" i="10" s="1"/>
  <c r="P24" i="10"/>
  <c r="N24" i="10" s="1"/>
  <c r="K24" i="10"/>
  <c r="I24" i="10"/>
  <c r="J24" i="10" s="1"/>
  <c r="M23" i="10"/>
  <c r="M15" i="10" s="1"/>
  <c r="L30" i="7" s="1"/>
  <c r="I23" i="10"/>
  <c r="I15" i="10" s="1"/>
  <c r="H30" i="7" s="1"/>
  <c r="D21" i="10"/>
  <c r="M14" i="10"/>
  <c r="P13" i="10"/>
  <c r="P12" i="10"/>
  <c r="K11" i="10"/>
  <c r="Q10" i="10"/>
  <c r="P9" i="10"/>
  <c r="I9" i="10"/>
  <c r="K53" i="10" s="1"/>
  <c r="H9" i="10"/>
  <c r="P8" i="10"/>
  <c r="I8" i="10"/>
  <c r="H8" i="10"/>
  <c r="P7" i="10"/>
  <c r="P6" i="10"/>
  <c r="P5" i="10"/>
  <c r="P10" i="10" s="1"/>
  <c r="P83" i="9"/>
  <c r="N83" i="9"/>
  <c r="L83" i="9"/>
  <c r="K83" i="9"/>
  <c r="I83" i="9"/>
  <c r="G83" i="9"/>
  <c r="P82" i="9"/>
  <c r="N82" i="9"/>
  <c r="L82" i="9"/>
  <c r="K82" i="9"/>
  <c r="I82" i="9"/>
  <c r="G82" i="9"/>
  <c r="P81" i="9"/>
  <c r="N81" i="9" s="1"/>
  <c r="L81" i="9"/>
  <c r="K81" i="9"/>
  <c r="I81" i="9"/>
  <c r="G81" i="9"/>
  <c r="S80" i="9"/>
  <c r="T80" i="9" s="1"/>
  <c r="P80" i="9"/>
  <c r="N80" i="9" s="1"/>
  <c r="L80" i="9"/>
  <c r="K80" i="9"/>
  <c r="I80" i="9"/>
  <c r="G80" i="9"/>
  <c r="S79" i="9"/>
  <c r="T79" i="9" s="1"/>
  <c r="P79" i="9"/>
  <c r="N79" i="9" s="1"/>
  <c r="L79" i="9"/>
  <c r="K79" i="9"/>
  <c r="I79" i="9"/>
  <c r="G79" i="9"/>
  <c r="P78" i="9"/>
  <c r="N78" i="9"/>
  <c r="L78" i="9"/>
  <c r="K78" i="9"/>
  <c r="I78" i="9"/>
  <c r="G78" i="9"/>
  <c r="P77" i="9"/>
  <c r="N77" i="9"/>
  <c r="L77" i="9"/>
  <c r="K77" i="9"/>
  <c r="I77" i="9"/>
  <c r="G77" i="9"/>
  <c r="P76" i="9"/>
  <c r="N76" i="9" s="1"/>
  <c r="L76" i="9"/>
  <c r="K76" i="9"/>
  <c r="I76" i="9"/>
  <c r="G76" i="9"/>
  <c r="S75" i="9"/>
  <c r="T75" i="9" s="1"/>
  <c r="P75" i="9"/>
  <c r="N75" i="9" s="1"/>
  <c r="L75" i="9"/>
  <c r="K75" i="9"/>
  <c r="I75" i="9"/>
  <c r="G75" i="9"/>
  <c r="S74" i="9"/>
  <c r="T74" i="9" s="1"/>
  <c r="P74" i="9"/>
  <c r="N74" i="9" s="1"/>
  <c r="L74" i="9"/>
  <c r="K74" i="9"/>
  <c r="I74" i="9"/>
  <c r="G74" i="9"/>
  <c r="P73" i="9"/>
  <c r="N73" i="9"/>
  <c r="L73" i="9"/>
  <c r="K73" i="9"/>
  <c r="I73" i="9"/>
  <c r="G73" i="9"/>
  <c r="P72" i="9"/>
  <c r="N72" i="9"/>
  <c r="L72" i="9"/>
  <c r="K72" i="9"/>
  <c r="I72" i="9"/>
  <c r="G72" i="9"/>
  <c r="P71" i="9"/>
  <c r="N71" i="9" s="1"/>
  <c r="L71" i="9"/>
  <c r="K71" i="9"/>
  <c r="I71" i="9"/>
  <c r="G71" i="9"/>
  <c r="S70" i="9"/>
  <c r="T70" i="9" s="1"/>
  <c r="P70" i="9"/>
  <c r="N70" i="9" s="1"/>
  <c r="L70" i="9"/>
  <c r="K70" i="9"/>
  <c r="I70" i="9"/>
  <c r="G70" i="9"/>
  <c r="S69" i="9"/>
  <c r="T69" i="9" s="1"/>
  <c r="P69" i="9"/>
  <c r="N69" i="9" s="1"/>
  <c r="L69" i="9"/>
  <c r="K69" i="9"/>
  <c r="I69" i="9"/>
  <c r="G69" i="9"/>
  <c r="P68" i="9"/>
  <c r="N68" i="9"/>
  <c r="L68" i="9"/>
  <c r="K68" i="9"/>
  <c r="I68" i="9"/>
  <c r="G68" i="9"/>
  <c r="P67" i="9"/>
  <c r="N67" i="9"/>
  <c r="L67" i="9"/>
  <c r="K67" i="9"/>
  <c r="I67" i="9"/>
  <c r="G67" i="9"/>
  <c r="P66" i="9"/>
  <c r="N66" i="9" s="1"/>
  <c r="L66" i="9"/>
  <c r="K66" i="9"/>
  <c r="I66" i="9"/>
  <c r="G66" i="9"/>
  <c r="S65" i="9"/>
  <c r="T65" i="9" s="1"/>
  <c r="P65" i="9"/>
  <c r="N65" i="9" s="1"/>
  <c r="L65" i="9"/>
  <c r="K65" i="9"/>
  <c r="I65" i="9"/>
  <c r="G65" i="9"/>
  <c r="S64" i="9"/>
  <c r="T64" i="9" s="1"/>
  <c r="P64" i="9"/>
  <c r="N64" i="9" s="1"/>
  <c r="L64" i="9"/>
  <c r="K64" i="9"/>
  <c r="I64" i="9"/>
  <c r="G64" i="9"/>
  <c r="P63" i="9"/>
  <c r="N63" i="9"/>
  <c r="K63" i="9"/>
  <c r="I63" i="9"/>
  <c r="J63" i="9" s="1"/>
  <c r="P62" i="9"/>
  <c r="N62" i="9"/>
  <c r="K62" i="9"/>
  <c r="I62" i="9"/>
  <c r="J62" i="9" s="1"/>
  <c r="P61" i="9"/>
  <c r="N61" i="9" s="1"/>
  <c r="K61" i="9"/>
  <c r="I61" i="9"/>
  <c r="J61" i="9" s="1"/>
  <c r="S60" i="9"/>
  <c r="T60" i="9" s="1"/>
  <c r="P60" i="9"/>
  <c r="N60" i="9" s="1"/>
  <c r="K60" i="9"/>
  <c r="I60" i="9"/>
  <c r="J60" i="9" s="1"/>
  <c r="S59" i="9"/>
  <c r="T59" i="9" s="1"/>
  <c r="P59" i="9"/>
  <c r="N59" i="9" s="1"/>
  <c r="K59" i="9"/>
  <c r="I59" i="9"/>
  <c r="J59" i="9" s="1"/>
  <c r="P58" i="9"/>
  <c r="N58" i="9"/>
  <c r="K58" i="9"/>
  <c r="I58" i="9"/>
  <c r="J58" i="9" s="1"/>
  <c r="P57" i="9"/>
  <c r="N57" i="9"/>
  <c r="K57" i="9"/>
  <c r="I57" i="9"/>
  <c r="J57" i="9" s="1"/>
  <c r="P56" i="9"/>
  <c r="N56" i="9" s="1"/>
  <c r="K56" i="9"/>
  <c r="I56" i="9"/>
  <c r="J56" i="9" s="1"/>
  <c r="S55" i="9"/>
  <c r="T55" i="9" s="1"/>
  <c r="P55" i="9"/>
  <c r="N55" i="9" s="1"/>
  <c r="K55" i="9"/>
  <c r="I55" i="9"/>
  <c r="J55" i="9" s="1"/>
  <c r="S54" i="9"/>
  <c r="T54" i="9" s="1"/>
  <c r="P54" i="9"/>
  <c r="N54" i="9" s="1"/>
  <c r="K54" i="9"/>
  <c r="I54" i="9"/>
  <c r="J54" i="9" s="1"/>
  <c r="P53" i="9"/>
  <c r="N53" i="9"/>
  <c r="K53" i="9"/>
  <c r="I53" i="9"/>
  <c r="J53" i="9" s="1"/>
  <c r="P52" i="9"/>
  <c r="N52" i="9"/>
  <c r="K52" i="9"/>
  <c r="I52" i="9"/>
  <c r="J52" i="9" s="1"/>
  <c r="P51" i="9"/>
  <c r="N51" i="9" s="1"/>
  <c r="K51" i="9"/>
  <c r="I51" i="9"/>
  <c r="J51" i="9" s="1"/>
  <c r="S50" i="9"/>
  <c r="T50" i="9" s="1"/>
  <c r="P50" i="9"/>
  <c r="N50" i="9" s="1"/>
  <c r="K50" i="9"/>
  <c r="I50" i="9"/>
  <c r="J50" i="9" s="1"/>
  <c r="S49" i="9"/>
  <c r="T49" i="9" s="1"/>
  <c r="P49" i="9"/>
  <c r="N49" i="9" s="1"/>
  <c r="K49" i="9"/>
  <c r="I49" i="9"/>
  <c r="J49" i="9" s="1"/>
  <c r="P48" i="9"/>
  <c r="N48" i="9"/>
  <c r="K48" i="9"/>
  <c r="I48" i="9"/>
  <c r="J48" i="9" s="1"/>
  <c r="P47" i="9"/>
  <c r="N47" i="9"/>
  <c r="K47" i="9"/>
  <c r="I47" i="9"/>
  <c r="J47" i="9" s="1"/>
  <c r="P46" i="9"/>
  <c r="N46" i="9" s="1"/>
  <c r="K46" i="9"/>
  <c r="I46" i="9"/>
  <c r="J46" i="9" s="1"/>
  <c r="S45" i="9"/>
  <c r="T45" i="9" s="1"/>
  <c r="P45" i="9"/>
  <c r="N45" i="9" s="1"/>
  <c r="K45" i="9"/>
  <c r="I45" i="9"/>
  <c r="J45" i="9" s="1"/>
  <c r="S44" i="9"/>
  <c r="T44" i="9" s="1"/>
  <c r="P44" i="9"/>
  <c r="N44" i="9" s="1"/>
  <c r="K44" i="9"/>
  <c r="I44" i="9"/>
  <c r="J44" i="9" s="1"/>
  <c r="P43" i="9"/>
  <c r="N43" i="9"/>
  <c r="K43" i="9"/>
  <c r="I43" i="9"/>
  <c r="J43" i="9" s="1"/>
  <c r="P42" i="9"/>
  <c r="N42" i="9"/>
  <c r="K42" i="9"/>
  <c r="I42" i="9"/>
  <c r="J42" i="9" s="1"/>
  <c r="P41" i="9"/>
  <c r="N41" i="9" s="1"/>
  <c r="K41" i="9"/>
  <c r="I41" i="9"/>
  <c r="J41" i="9" s="1"/>
  <c r="S40" i="9"/>
  <c r="T40" i="9" s="1"/>
  <c r="P40" i="9"/>
  <c r="N40" i="9" s="1"/>
  <c r="K40" i="9"/>
  <c r="I40" i="9"/>
  <c r="J40" i="9" s="1"/>
  <c r="S39" i="9"/>
  <c r="T39" i="9" s="1"/>
  <c r="P39" i="9"/>
  <c r="N39" i="9" s="1"/>
  <c r="K39" i="9"/>
  <c r="I39" i="9"/>
  <c r="J39" i="9" s="1"/>
  <c r="P38" i="9"/>
  <c r="N38" i="9"/>
  <c r="L38" i="9"/>
  <c r="K38" i="9"/>
  <c r="I38" i="9"/>
  <c r="J38" i="9" s="1"/>
  <c r="P37" i="9"/>
  <c r="N37" i="9"/>
  <c r="L37" i="9"/>
  <c r="K37" i="9"/>
  <c r="I37" i="9"/>
  <c r="J37" i="9" s="1"/>
  <c r="P36" i="9"/>
  <c r="N36" i="9"/>
  <c r="L36" i="9"/>
  <c r="K36" i="9"/>
  <c r="I36" i="9"/>
  <c r="J36" i="9" s="1"/>
  <c r="P35" i="9"/>
  <c r="N35" i="9"/>
  <c r="L35" i="9"/>
  <c r="K35" i="9"/>
  <c r="I35" i="9"/>
  <c r="J35" i="9" s="1"/>
  <c r="P34" i="9"/>
  <c r="N34" i="9" s="1"/>
  <c r="L34" i="9"/>
  <c r="K34" i="9"/>
  <c r="I34" i="9"/>
  <c r="J34" i="9" s="1"/>
  <c r="P33" i="9"/>
  <c r="N33" i="9" s="1"/>
  <c r="L33" i="9"/>
  <c r="K33" i="9"/>
  <c r="I33" i="9"/>
  <c r="J33" i="9" s="1"/>
  <c r="S32" i="9"/>
  <c r="T32" i="9" s="1"/>
  <c r="P32" i="9"/>
  <c r="N32" i="9" s="1"/>
  <c r="L32" i="9"/>
  <c r="K32" i="9"/>
  <c r="I32" i="9"/>
  <c r="J32" i="9" s="1"/>
  <c r="I31" i="9"/>
  <c r="J31" i="9" s="1"/>
  <c r="M31" i="9" s="1"/>
  <c r="W31" i="9" s="1"/>
  <c r="I30" i="9"/>
  <c r="J30" i="9" s="1"/>
  <c r="M30" i="9" s="1"/>
  <c r="W30" i="9" s="1"/>
  <c r="K29" i="9"/>
  <c r="I29" i="9"/>
  <c r="J29" i="9" s="1"/>
  <c r="P28" i="9"/>
  <c r="N28" i="9"/>
  <c r="K28" i="9"/>
  <c r="I28" i="9"/>
  <c r="J28" i="9" s="1"/>
  <c r="P27" i="9"/>
  <c r="N27" i="9"/>
  <c r="K27" i="9"/>
  <c r="I27" i="9"/>
  <c r="J27" i="9" s="1"/>
  <c r="P26" i="9"/>
  <c r="N26" i="9"/>
  <c r="K26" i="9"/>
  <c r="I26" i="9"/>
  <c r="J26" i="9" s="1"/>
  <c r="S25" i="9"/>
  <c r="T25" i="9" s="1"/>
  <c r="P25" i="9"/>
  <c r="N25" i="9" s="1"/>
  <c r="K25" i="9"/>
  <c r="I25" i="9"/>
  <c r="J25" i="9" s="1"/>
  <c r="S24" i="9"/>
  <c r="T24" i="9" s="1"/>
  <c r="P24" i="9"/>
  <c r="N24" i="9" s="1"/>
  <c r="K24" i="9"/>
  <c r="I24" i="9"/>
  <c r="J24" i="9" s="1"/>
  <c r="M23" i="9"/>
  <c r="M15" i="9" s="1"/>
  <c r="L21" i="7" s="1"/>
  <c r="I23" i="9"/>
  <c r="D21" i="9"/>
  <c r="I15" i="9"/>
  <c r="H21" i="7" s="1"/>
  <c r="M14" i="9"/>
  <c r="P13" i="9"/>
  <c r="P12" i="9"/>
  <c r="H12" i="9"/>
  <c r="K11" i="9"/>
  <c r="H9" i="9"/>
  <c r="H8" i="9"/>
  <c r="M14" i="1"/>
  <c r="M23" i="1"/>
  <c r="M15" i="1" s="1"/>
  <c r="M15" i="2"/>
  <c r="M14" i="2"/>
  <c r="M23" i="2"/>
  <c r="M15" i="3"/>
  <c r="M14" i="3"/>
  <c r="M23" i="3"/>
  <c r="I29" i="3"/>
  <c r="J29" i="3" s="1"/>
  <c r="J83" i="9" l="1"/>
  <c r="M83" i="9" s="1"/>
  <c r="W83" i="9" s="1"/>
  <c r="M32" i="10"/>
  <c r="W32" i="10" s="1"/>
  <c r="M33" i="10"/>
  <c r="W33" i="10" s="1"/>
  <c r="M30" i="10"/>
  <c r="W30" i="10" s="1"/>
  <c r="M50" i="10"/>
  <c r="M54" i="10"/>
  <c r="W54" i="10" s="1"/>
  <c r="M63" i="10"/>
  <c r="W63" i="10" s="1"/>
  <c r="M65" i="10"/>
  <c r="W65" i="10" s="1"/>
  <c r="M36" i="11"/>
  <c r="W36" i="11" s="1"/>
  <c r="M37" i="11"/>
  <c r="W37" i="11" s="1"/>
  <c r="M38" i="11"/>
  <c r="W38" i="11" s="1"/>
  <c r="M39" i="11"/>
  <c r="W39" i="11" s="1"/>
  <c r="M44" i="11"/>
  <c r="M46" i="11"/>
  <c r="M48" i="11"/>
  <c r="M73" i="11"/>
  <c r="W73" i="11" s="1"/>
  <c r="M74" i="11"/>
  <c r="W74" i="11" s="1"/>
  <c r="M42" i="9"/>
  <c r="W42" i="9" s="1"/>
  <c r="M36" i="10"/>
  <c r="W36" i="10" s="1"/>
  <c r="Q13" i="11"/>
  <c r="M45" i="11"/>
  <c r="M47" i="11"/>
  <c r="S43" i="11"/>
  <c r="T43" i="11" s="1"/>
  <c r="M32" i="11"/>
  <c r="W32" i="11" s="1"/>
  <c r="M34" i="11"/>
  <c r="W34" i="11" s="1"/>
  <c r="M25" i="11"/>
  <c r="W25" i="11" s="1"/>
  <c r="M26" i="11"/>
  <c r="W26" i="11" s="1"/>
  <c r="M28" i="11"/>
  <c r="W28" i="11" s="1"/>
  <c r="M40" i="11"/>
  <c r="W40" i="11" s="1"/>
  <c r="M24" i="11"/>
  <c r="W24" i="11" s="1"/>
  <c r="M27" i="11"/>
  <c r="W27" i="11" s="1"/>
  <c r="M30" i="11"/>
  <c r="W30" i="11" s="1"/>
  <c r="M31" i="11"/>
  <c r="W31" i="11" s="1"/>
  <c r="M33" i="11"/>
  <c r="W33" i="11" s="1"/>
  <c r="M35" i="11"/>
  <c r="W35" i="11" s="1"/>
  <c r="M41" i="11"/>
  <c r="W41" i="11" s="1"/>
  <c r="M42" i="11"/>
  <c r="W42" i="11" s="1"/>
  <c r="M43" i="11"/>
  <c r="Q13" i="10"/>
  <c r="M26" i="10"/>
  <c r="W26" i="10" s="1"/>
  <c r="M27" i="10"/>
  <c r="W27" i="10" s="1"/>
  <c r="M31" i="10"/>
  <c r="W31" i="10" s="1"/>
  <c r="M47" i="10"/>
  <c r="W47" i="10" s="1"/>
  <c r="M61" i="10"/>
  <c r="W61" i="10" s="1"/>
  <c r="M62" i="10"/>
  <c r="W62" i="10" s="1"/>
  <c r="M64" i="10"/>
  <c r="W64" i="10" s="1"/>
  <c r="M66" i="10"/>
  <c r="W66" i="10" s="1"/>
  <c r="M72" i="10"/>
  <c r="W72" i="10" s="1"/>
  <c r="M87" i="10"/>
  <c r="W87" i="10" s="1"/>
  <c r="M88" i="10"/>
  <c r="W88" i="10" s="1"/>
  <c r="M73" i="10"/>
  <c r="W73" i="10" s="1"/>
  <c r="M75" i="10"/>
  <c r="W75" i="10" s="1"/>
  <c r="M77" i="10"/>
  <c r="W77" i="10" s="1"/>
  <c r="M80" i="10"/>
  <c r="W80" i="10" s="1"/>
  <c r="M82" i="10"/>
  <c r="W82" i="10" s="1"/>
  <c r="M84" i="10"/>
  <c r="W84" i="10" s="1"/>
  <c r="S51" i="10"/>
  <c r="T51" i="10" s="1"/>
  <c r="S49" i="10"/>
  <c r="T49" i="10" s="1"/>
  <c r="Q53" i="10"/>
  <c r="M24" i="10"/>
  <c r="W24" i="10" s="1"/>
  <c r="M25" i="10"/>
  <c r="W25" i="10" s="1"/>
  <c r="M28" i="10"/>
  <c r="W28" i="10" s="1"/>
  <c r="M29" i="10"/>
  <c r="W29" i="10" s="1"/>
  <c r="M34" i="10"/>
  <c r="W34" i="10" s="1"/>
  <c r="M35" i="10"/>
  <c r="W35" i="10" s="1"/>
  <c r="M37" i="10"/>
  <c r="W37" i="10" s="1"/>
  <c r="M38" i="10"/>
  <c r="W38" i="10" s="1"/>
  <c r="M39" i="10"/>
  <c r="W39" i="10" s="1"/>
  <c r="M40" i="10"/>
  <c r="W40" i="10" s="1"/>
  <c r="M41" i="10"/>
  <c r="W41" i="10" s="1"/>
  <c r="M48" i="10"/>
  <c r="M49" i="10"/>
  <c r="Q49" i="10"/>
  <c r="Q51" i="10"/>
  <c r="S53" i="10"/>
  <c r="T53" i="10" s="1"/>
  <c r="M55" i="10"/>
  <c r="W55" i="10" s="1"/>
  <c r="M56" i="10"/>
  <c r="W56" i="10" s="1"/>
  <c r="M57" i="10"/>
  <c r="W57" i="10" s="1"/>
  <c r="M58" i="10"/>
  <c r="W58" i="10" s="1"/>
  <c r="M59" i="10"/>
  <c r="W59" i="10" s="1"/>
  <c r="M60" i="10"/>
  <c r="W60" i="10" s="1"/>
  <c r="M67" i="10"/>
  <c r="W67" i="10" s="1"/>
  <c r="M68" i="10"/>
  <c r="W68" i="10" s="1"/>
  <c r="M69" i="10"/>
  <c r="W69" i="10" s="1"/>
  <c r="M70" i="10"/>
  <c r="W70" i="10" s="1"/>
  <c r="M71" i="10"/>
  <c r="W71" i="10" s="1"/>
  <c r="M74" i="10"/>
  <c r="W74" i="10" s="1"/>
  <c r="M76" i="10"/>
  <c r="W76" i="10" s="1"/>
  <c r="M78" i="10"/>
  <c r="W78" i="10" s="1"/>
  <c r="M79" i="10"/>
  <c r="W79" i="10" s="1"/>
  <c r="M81" i="10"/>
  <c r="W81" i="10" s="1"/>
  <c r="M83" i="10"/>
  <c r="W83" i="10" s="1"/>
  <c r="M85" i="10"/>
  <c r="W85" i="10" s="1"/>
  <c r="M86" i="10"/>
  <c r="W86" i="10" s="1"/>
  <c r="Q13" i="9"/>
  <c r="M51" i="9"/>
  <c r="W51" i="9" s="1"/>
  <c r="M62" i="9"/>
  <c r="W62" i="9" s="1"/>
  <c r="M50" i="9"/>
  <c r="W50" i="9" s="1"/>
  <c r="M53" i="9"/>
  <c r="W53" i="9" s="1"/>
  <c r="M54" i="9"/>
  <c r="W54" i="9" s="1"/>
  <c r="M59" i="9"/>
  <c r="W59" i="9" s="1"/>
  <c r="M36" i="9"/>
  <c r="W36" i="9" s="1"/>
  <c r="M37" i="9"/>
  <c r="W37" i="9" s="1"/>
  <c r="M38" i="9"/>
  <c r="W38" i="9" s="1"/>
  <c r="M55" i="9"/>
  <c r="W55" i="9" s="1"/>
  <c r="M27" i="9"/>
  <c r="W27" i="9" s="1"/>
  <c r="M28" i="9"/>
  <c r="W28" i="9" s="1"/>
  <c r="M39" i="9"/>
  <c r="W39" i="9" s="1"/>
  <c r="M46" i="9"/>
  <c r="W46" i="9" s="1"/>
  <c r="M47" i="9"/>
  <c r="W47" i="9" s="1"/>
  <c r="M24" i="9"/>
  <c r="W24" i="9" s="1"/>
  <c r="M25" i="9"/>
  <c r="W25" i="9" s="1"/>
  <c r="M29" i="9"/>
  <c r="W29" i="9" s="1"/>
  <c r="M32" i="9"/>
  <c r="W32" i="9" s="1"/>
  <c r="M33" i="9"/>
  <c r="W33" i="9" s="1"/>
  <c r="M34" i="9"/>
  <c r="W34" i="9" s="1"/>
  <c r="M35" i="9"/>
  <c r="W35" i="9" s="1"/>
  <c r="M41" i="9"/>
  <c r="W41" i="9" s="1"/>
  <c r="M43" i="9"/>
  <c r="W43" i="9" s="1"/>
  <c r="M45" i="9"/>
  <c r="W45" i="9" s="1"/>
  <c r="M49" i="9"/>
  <c r="W49" i="9" s="1"/>
  <c r="M57" i="9"/>
  <c r="W57" i="9" s="1"/>
  <c r="M58" i="9"/>
  <c r="W58" i="9" s="1"/>
  <c r="M61" i="9"/>
  <c r="W61" i="9" s="1"/>
  <c r="M63" i="9"/>
  <c r="W63" i="9" s="1"/>
  <c r="J72" i="11"/>
  <c r="M72" i="11" s="1"/>
  <c r="W72" i="11" s="1"/>
  <c r="J68" i="11"/>
  <c r="M68" i="11" s="1"/>
  <c r="W68" i="11" s="1"/>
  <c r="J64" i="11"/>
  <c r="M64" i="11" s="1"/>
  <c r="W64" i="11" s="1"/>
  <c r="J60" i="11"/>
  <c r="M60" i="11" s="1"/>
  <c r="W60" i="11" s="1"/>
  <c r="J51" i="11"/>
  <c r="M51" i="11" s="1"/>
  <c r="W51" i="11" s="1"/>
  <c r="J52" i="11"/>
  <c r="M52" i="11" s="1"/>
  <c r="W52" i="11" s="1"/>
  <c r="J55" i="11"/>
  <c r="M55" i="11" s="1"/>
  <c r="W55" i="11" s="1"/>
  <c r="J56" i="11"/>
  <c r="M56" i="11" s="1"/>
  <c r="W56" i="11" s="1"/>
  <c r="J70" i="11"/>
  <c r="M70" i="11" s="1"/>
  <c r="W70" i="11" s="1"/>
  <c r="J71" i="11"/>
  <c r="M71" i="11" s="1"/>
  <c r="W71" i="11" s="1"/>
  <c r="M29" i="11"/>
  <c r="W29" i="11" s="1"/>
  <c r="J49" i="11"/>
  <c r="M49" i="11" s="1"/>
  <c r="W49" i="11" s="1"/>
  <c r="J50" i="11"/>
  <c r="M50" i="11" s="1"/>
  <c r="W50" i="11" s="1"/>
  <c r="J53" i="11"/>
  <c r="M53" i="11" s="1"/>
  <c r="W53" i="11" s="1"/>
  <c r="J54" i="11"/>
  <c r="M54" i="11" s="1"/>
  <c r="W54" i="11" s="1"/>
  <c r="J58" i="11"/>
  <c r="M58" i="11" s="1"/>
  <c r="W58" i="11" s="1"/>
  <c r="J59" i="11"/>
  <c r="M59" i="11" s="1"/>
  <c r="W59" i="11" s="1"/>
  <c r="J62" i="11"/>
  <c r="M62" i="11" s="1"/>
  <c r="W62" i="11" s="1"/>
  <c r="J63" i="11"/>
  <c r="M63" i="11" s="1"/>
  <c r="W63" i="11" s="1"/>
  <c r="J66" i="11"/>
  <c r="M66" i="11" s="1"/>
  <c r="W66" i="11" s="1"/>
  <c r="J67" i="11"/>
  <c r="M67" i="11" s="1"/>
  <c r="W67" i="11" s="1"/>
  <c r="Q43" i="11"/>
  <c r="Q44" i="11"/>
  <c r="S44" i="11"/>
  <c r="T44" i="11" s="1"/>
  <c r="Q45" i="11"/>
  <c r="S45" i="11"/>
  <c r="T45" i="11" s="1"/>
  <c r="Q46" i="11"/>
  <c r="S46" i="11"/>
  <c r="T46" i="11" s="1"/>
  <c r="Q47" i="11"/>
  <c r="S47" i="11"/>
  <c r="T47" i="11" s="1"/>
  <c r="Q48" i="11"/>
  <c r="S48" i="11"/>
  <c r="T48" i="11" s="1"/>
  <c r="J57" i="11"/>
  <c r="M57" i="11" s="1"/>
  <c r="W57" i="11" s="1"/>
  <c r="J61" i="11"/>
  <c r="M61" i="11" s="1"/>
  <c r="W61" i="11" s="1"/>
  <c r="J65" i="11"/>
  <c r="M65" i="11" s="1"/>
  <c r="W65" i="11" s="1"/>
  <c r="J69" i="11"/>
  <c r="M69" i="11" s="1"/>
  <c r="W69" i="11" s="1"/>
  <c r="K51" i="10"/>
  <c r="K52" i="10"/>
  <c r="M52" i="10" s="1"/>
  <c r="K46" i="10"/>
  <c r="M46" i="10" s="1"/>
  <c r="W46" i="10" s="1"/>
  <c r="K45" i="10"/>
  <c r="M45" i="10" s="1"/>
  <c r="W45" i="10" s="1"/>
  <c r="K44" i="10"/>
  <c r="M44" i="10" s="1"/>
  <c r="W44" i="10" s="1"/>
  <c r="K43" i="10"/>
  <c r="K42" i="10"/>
  <c r="M42" i="10" s="1"/>
  <c r="W42" i="10" s="1"/>
  <c r="M43" i="10"/>
  <c r="W43" i="10" s="1"/>
  <c r="M51" i="10"/>
  <c r="M53" i="10"/>
  <c r="Q48" i="10"/>
  <c r="S48" i="10"/>
  <c r="T48" i="10" s="1"/>
  <c r="Q50" i="10"/>
  <c r="S50" i="10"/>
  <c r="T50" i="10" s="1"/>
  <c r="Q52" i="10"/>
  <c r="S52" i="10"/>
  <c r="T52" i="10" s="1"/>
  <c r="M26" i="9"/>
  <c r="W26" i="9" s="1"/>
  <c r="J67" i="9"/>
  <c r="M67" i="9" s="1"/>
  <c r="W67" i="9" s="1"/>
  <c r="J68" i="9"/>
  <c r="M68" i="9" s="1"/>
  <c r="W68" i="9" s="1"/>
  <c r="J79" i="9"/>
  <c r="M79" i="9" s="1"/>
  <c r="W79" i="9" s="1"/>
  <c r="J80" i="9"/>
  <c r="M80" i="9" s="1"/>
  <c r="W80" i="9" s="1"/>
  <c r="J81" i="9"/>
  <c r="M81" i="9" s="1"/>
  <c r="W81" i="9" s="1"/>
  <c r="J77" i="9"/>
  <c r="M77" i="9" s="1"/>
  <c r="W77" i="9" s="1"/>
  <c r="J73" i="9"/>
  <c r="M73" i="9" s="1"/>
  <c r="W73" i="9" s="1"/>
  <c r="J69" i="9"/>
  <c r="M69" i="9" s="1"/>
  <c r="W69" i="9" s="1"/>
  <c r="M40" i="9"/>
  <c r="W40" i="9" s="1"/>
  <c r="M44" i="9"/>
  <c r="W44" i="9" s="1"/>
  <c r="M48" i="9"/>
  <c r="W48" i="9" s="1"/>
  <c r="M52" i="9"/>
  <c r="W52" i="9" s="1"/>
  <c r="M56" i="9"/>
  <c r="W56" i="9" s="1"/>
  <c r="M60" i="9"/>
  <c r="W60" i="9" s="1"/>
  <c r="J64" i="9"/>
  <c r="M64" i="9" s="1"/>
  <c r="W64" i="9" s="1"/>
  <c r="J65" i="9"/>
  <c r="M65" i="9" s="1"/>
  <c r="W65" i="9" s="1"/>
  <c r="J71" i="9"/>
  <c r="M71" i="9" s="1"/>
  <c r="W71" i="9" s="1"/>
  <c r="J72" i="9"/>
  <c r="M72" i="9" s="1"/>
  <c r="W72" i="9" s="1"/>
  <c r="J75" i="9"/>
  <c r="M75" i="9" s="1"/>
  <c r="W75" i="9" s="1"/>
  <c r="J76" i="9"/>
  <c r="M76" i="9" s="1"/>
  <c r="W76" i="9" s="1"/>
  <c r="J66" i="9"/>
  <c r="M66" i="9" s="1"/>
  <c r="W66" i="9" s="1"/>
  <c r="J70" i="9"/>
  <c r="M70" i="9" s="1"/>
  <c r="W70" i="9" s="1"/>
  <c r="J74" i="9"/>
  <c r="M74" i="9" s="1"/>
  <c r="W74" i="9" s="1"/>
  <c r="J78" i="9"/>
  <c r="M78" i="9" s="1"/>
  <c r="W78" i="9" s="1"/>
  <c r="J82" i="9"/>
  <c r="M82" i="9" s="1"/>
  <c r="W82" i="9" s="1"/>
  <c r="G7" i="7"/>
  <c r="B69" i="11" l="1"/>
  <c r="Q69" i="11" s="1"/>
  <c r="B61" i="10"/>
  <c r="B63" i="10"/>
  <c r="Q63" i="10" s="1"/>
  <c r="B65" i="10"/>
  <c r="B72" i="10"/>
  <c r="B88" i="10"/>
  <c r="Q88" i="10" s="1"/>
  <c r="B59" i="10"/>
  <c r="S59" i="10" s="1"/>
  <c r="B67" i="10"/>
  <c r="S67" i="10" s="1"/>
  <c r="B69" i="10"/>
  <c r="S69" i="10" s="1"/>
  <c r="B71" i="10"/>
  <c r="S71" i="10" s="1"/>
  <c r="B74" i="10"/>
  <c r="Q74" i="10" s="1"/>
  <c r="B76" i="10"/>
  <c r="S76" i="10" s="1"/>
  <c r="B78" i="10"/>
  <c r="Q78" i="10" s="1"/>
  <c r="B80" i="10"/>
  <c r="S80" i="10" s="1"/>
  <c r="B82" i="10"/>
  <c r="S82" i="10" s="1"/>
  <c r="B84" i="10"/>
  <c r="Q84" i="10" s="1"/>
  <c r="B86" i="10"/>
  <c r="R86" i="10" s="1"/>
  <c r="B83" i="10"/>
  <c r="Q83" i="10" s="1"/>
  <c r="B79" i="10"/>
  <c r="Q79" i="10" s="1"/>
  <c r="B62" i="10"/>
  <c r="S62" i="10" s="1"/>
  <c r="B46" i="10"/>
  <c r="S46" i="10" s="1"/>
  <c r="T46" i="10" s="1"/>
  <c r="B85" i="10"/>
  <c r="S85" i="10" s="1"/>
  <c r="T85" i="10" s="1"/>
  <c r="B81" i="10"/>
  <c r="Q81" i="10" s="1"/>
  <c r="B77" i="10"/>
  <c r="S77" i="10" s="1"/>
  <c r="B75" i="10"/>
  <c r="S75" i="10" s="1"/>
  <c r="B73" i="10"/>
  <c r="S73" i="10" s="1"/>
  <c r="B70" i="10"/>
  <c r="B68" i="10"/>
  <c r="B60" i="10"/>
  <c r="Q60" i="10" s="1"/>
  <c r="B58" i="10"/>
  <c r="Q58" i="10" s="1"/>
  <c r="B87" i="10"/>
  <c r="S87" i="10" s="1"/>
  <c r="T87" i="10" s="1"/>
  <c r="B66" i="10"/>
  <c r="B64" i="10"/>
  <c r="Q64" i="10" s="1"/>
  <c r="B78" i="9"/>
  <c r="S78" i="9" s="1"/>
  <c r="B29" i="9"/>
  <c r="S29" i="9" s="1"/>
  <c r="T29" i="9" s="1"/>
  <c r="B61" i="11"/>
  <c r="B67" i="11"/>
  <c r="B63" i="11"/>
  <c r="B59" i="11"/>
  <c r="B54" i="11"/>
  <c r="B50" i="11"/>
  <c r="B29" i="11"/>
  <c r="B71" i="11"/>
  <c r="B56" i="11"/>
  <c r="B52" i="11"/>
  <c r="S52" i="11" s="1"/>
  <c r="B41" i="11"/>
  <c r="S41" i="11" s="1"/>
  <c r="T41" i="11" s="1"/>
  <c r="B60" i="11"/>
  <c r="B68" i="11"/>
  <c r="B42" i="11"/>
  <c r="S42" i="11" s="1"/>
  <c r="T42" i="11" s="1"/>
  <c r="B33" i="11"/>
  <c r="S33" i="11" s="1"/>
  <c r="T33" i="11" s="1"/>
  <c r="B24" i="11"/>
  <c r="B36" i="11"/>
  <c r="B38" i="11"/>
  <c r="B40" i="11"/>
  <c r="B28" i="11"/>
  <c r="B25" i="11"/>
  <c r="S25" i="11" s="1"/>
  <c r="T25" i="11" s="1"/>
  <c r="B65" i="11"/>
  <c r="B57" i="11"/>
  <c r="B74" i="11"/>
  <c r="B66" i="11"/>
  <c r="B62" i="11"/>
  <c r="B58" i="11"/>
  <c r="S58" i="11" s="1"/>
  <c r="B53" i="11"/>
  <c r="B49" i="11"/>
  <c r="B73" i="11"/>
  <c r="B70" i="11"/>
  <c r="S70" i="11" s="1"/>
  <c r="B55" i="11"/>
  <c r="B51" i="11"/>
  <c r="B27" i="11"/>
  <c r="B64" i="11"/>
  <c r="S64" i="11" s="1"/>
  <c r="B72" i="11"/>
  <c r="B35" i="11"/>
  <c r="B31" i="11"/>
  <c r="B30" i="11"/>
  <c r="B37" i="11"/>
  <c r="B39" i="11"/>
  <c r="B32" i="11"/>
  <c r="B26" i="11"/>
  <c r="S26" i="11" s="1"/>
  <c r="T26" i="11" s="1"/>
  <c r="B34" i="11"/>
  <c r="S34" i="11" s="1"/>
  <c r="T34" i="11" s="1"/>
  <c r="S79" i="10"/>
  <c r="S70" i="10"/>
  <c r="B42" i="10"/>
  <c r="B40" i="10"/>
  <c r="B38" i="10"/>
  <c r="B35" i="10"/>
  <c r="B29" i="10"/>
  <c r="B25" i="10"/>
  <c r="B54" i="10"/>
  <c r="B56" i="10"/>
  <c r="B47" i="10"/>
  <c r="B43" i="10"/>
  <c r="B33" i="10"/>
  <c r="B31" i="10"/>
  <c r="B27" i="10"/>
  <c r="Q69" i="10"/>
  <c r="S88" i="10"/>
  <c r="T88" i="10" s="1"/>
  <c r="S63" i="10"/>
  <c r="B44" i="10"/>
  <c r="B41" i="10"/>
  <c r="B39" i="10"/>
  <c r="B37" i="10"/>
  <c r="B34" i="10"/>
  <c r="B28" i="10"/>
  <c r="B24" i="10"/>
  <c r="B55" i="10"/>
  <c r="B57" i="10"/>
  <c r="B45" i="10"/>
  <c r="B36" i="10"/>
  <c r="B32" i="10"/>
  <c r="B30" i="10"/>
  <c r="B26" i="10"/>
  <c r="B82" i="9"/>
  <c r="B74" i="9"/>
  <c r="B66" i="9"/>
  <c r="S66" i="9" s="1"/>
  <c r="B75" i="9"/>
  <c r="B71" i="9"/>
  <c r="S71" i="9" s="1"/>
  <c r="B64" i="9"/>
  <c r="B56" i="9"/>
  <c r="S56" i="9" s="1"/>
  <c r="B48" i="9"/>
  <c r="B40" i="9"/>
  <c r="B73" i="9"/>
  <c r="B81" i="9"/>
  <c r="S81" i="9" s="1"/>
  <c r="B79" i="9"/>
  <c r="B67" i="9"/>
  <c r="B58" i="9"/>
  <c r="B50" i="9"/>
  <c r="B42" i="9"/>
  <c r="B55" i="9"/>
  <c r="B51" i="9"/>
  <c r="S51" i="9" s="1"/>
  <c r="B39" i="9"/>
  <c r="B28" i="9"/>
  <c r="B37" i="9"/>
  <c r="B63" i="9"/>
  <c r="B57" i="9"/>
  <c r="B45" i="9"/>
  <c r="B41" i="9"/>
  <c r="S41" i="9" s="1"/>
  <c r="B34" i="9"/>
  <c r="S34" i="9" s="1"/>
  <c r="T34" i="9" s="1"/>
  <c r="B32" i="9"/>
  <c r="B83" i="9"/>
  <c r="B27" i="9"/>
  <c r="B70" i="9"/>
  <c r="B76" i="9"/>
  <c r="S76" i="9" s="1"/>
  <c r="B72" i="9"/>
  <c r="B65" i="9"/>
  <c r="B60" i="9"/>
  <c r="B52" i="9"/>
  <c r="B44" i="9"/>
  <c r="B69" i="9"/>
  <c r="B77" i="9"/>
  <c r="B80" i="9"/>
  <c r="B68" i="9"/>
  <c r="B62" i="9"/>
  <c r="B54" i="9"/>
  <c r="B46" i="9"/>
  <c r="S46" i="9" s="1"/>
  <c r="B59" i="9"/>
  <c r="B53" i="9"/>
  <c r="B47" i="9"/>
  <c r="B36" i="9"/>
  <c r="B24" i="9"/>
  <c r="B38" i="9"/>
  <c r="B61" i="9"/>
  <c r="S61" i="9" s="1"/>
  <c r="B49" i="9"/>
  <c r="B43" i="9"/>
  <c r="B35" i="9"/>
  <c r="B33" i="9"/>
  <c r="S33" i="9" s="1"/>
  <c r="T33" i="9" s="1"/>
  <c r="B26" i="9"/>
  <c r="S26" i="9" s="1"/>
  <c r="T26" i="9" s="1"/>
  <c r="B31" i="9"/>
  <c r="B30" i="9"/>
  <c r="B25" i="9"/>
  <c r="D21" i="2"/>
  <c r="D21" i="3"/>
  <c r="D21" i="1"/>
  <c r="Q78" i="9" l="1"/>
  <c r="U78" i="9" s="1"/>
  <c r="S74" i="10"/>
  <c r="T74" i="10" s="1"/>
  <c r="Q87" i="10"/>
  <c r="U87" i="10" s="1"/>
  <c r="R79" i="10"/>
  <c r="S81" i="10"/>
  <c r="U81" i="10" s="1"/>
  <c r="R84" i="10"/>
  <c r="Q62" i="10"/>
  <c r="U62" i="10" s="1"/>
  <c r="R70" i="10"/>
  <c r="R72" i="10"/>
  <c r="Q72" i="10"/>
  <c r="U72" i="10" s="1"/>
  <c r="Q59" i="10"/>
  <c r="U59" i="10" s="1"/>
  <c r="R71" i="10"/>
  <c r="Q82" i="10"/>
  <c r="U82" i="10" s="1"/>
  <c r="S86" i="10"/>
  <c r="T86" i="10" s="1"/>
  <c r="Q46" i="10"/>
  <c r="U46" i="10" s="1"/>
  <c r="S64" i="10"/>
  <c r="U64" i="10" s="1"/>
  <c r="Q75" i="10"/>
  <c r="U75" i="10" s="1"/>
  <c r="Q86" i="10"/>
  <c r="R46" i="10"/>
  <c r="R87" i="10"/>
  <c r="Q70" i="10"/>
  <c r="U70" i="10" s="1"/>
  <c r="R66" i="10"/>
  <c r="R60" i="10"/>
  <c r="R63" i="10"/>
  <c r="Q76" i="10"/>
  <c r="U76" i="10" s="1"/>
  <c r="Q66" i="10"/>
  <c r="U66" i="10" s="1"/>
  <c r="S58" i="10"/>
  <c r="U58" i="10" s="1"/>
  <c r="R75" i="10"/>
  <c r="S83" i="10"/>
  <c r="T81" i="10" s="1"/>
  <c r="R68" i="10"/>
  <c r="R81" i="10"/>
  <c r="R67" i="10"/>
  <c r="R65" i="10"/>
  <c r="R64" i="10"/>
  <c r="S61" i="10"/>
  <c r="S65" i="10"/>
  <c r="R88" i="10"/>
  <c r="R69" i="10"/>
  <c r="R74" i="10"/>
  <c r="R78" i="10"/>
  <c r="R80" i="10"/>
  <c r="S84" i="10"/>
  <c r="T84" i="10" s="1"/>
  <c r="R62" i="10"/>
  <c r="S68" i="10"/>
  <c r="T70" i="10" s="1"/>
  <c r="Q73" i="10"/>
  <c r="U73" i="10" s="1"/>
  <c r="Q77" i="10"/>
  <c r="U77" i="10" s="1"/>
  <c r="R83" i="10"/>
  <c r="Q85" i="10"/>
  <c r="U85" i="10" s="1"/>
  <c r="T61" i="10"/>
  <c r="T67" i="10"/>
  <c r="R58" i="10"/>
  <c r="Q61" i="10"/>
  <c r="R61" i="10"/>
  <c r="Q65" i="10"/>
  <c r="U65" i="10" s="1"/>
  <c r="Q67" i="10"/>
  <c r="U67" i="10" s="1"/>
  <c r="Q71" i="10"/>
  <c r="U71" i="10" s="1"/>
  <c r="R76" i="10"/>
  <c r="Q80" i="10"/>
  <c r="U80" i="10" s="1"/>
  <c r="R82" i="10"/>
  <c r="Q68" i="10"/>
  <c r="U68" i="10" s="1"/>
  <c r="R73" i="10"/>
  <c r="R77" i="10"/>
  <c r="R85" i="10"/>
  <c r="Q29" i="9"/>
  <c r="U29" i="9" s="1"/>
  <c r="R29" i="9"/>
  <c r="Q34" i="11"/>
  <c r="U34" i="11" s="1"/>
  <c r="R34" i="11"/>
  <c r="Q32" i="11"/>
  <c r="U32" i="11" s="1"/>
  <c r="R32" i="11"/>
  <c r="R37" i="11"/>
  <c r="Q37" i="11"/>
  <c r="S37" i="11"/>
  <c r="T37" i="11" s="1"/>
  <c r="S31" i="11"/>
  <c r="T31" i="11" s="1"/>
  <c r="Q31" i="11"/>
  <c r="R31" i="11"/>
  <c r="R72" i="11"/>
  <c r="S72" i="11"/>
  <c r="Q72" i="11"/>
  <c r="R27" i="11"/>
  <c r="S27" i="11"/>
  <c r="T27" i="11" s="1"/>
  <c r="Q27" i="11"/>
  <c r="R55" i="11"/>
  <c r="Q55" i="11"/>
  <c r="U55" i="11" s="1"/>
  <c r="Q26" i="11"/>
  <c r="U26" i="11" s="1"/>
  <c r="R26" i="11"/>
  <c r="R39" i="11"/>
  <c r="Q39" i="11"/>
  <c r="S39" i="11"/>
  <c r="T39" i="11" s="1"/>
  <c r="R30" i="11"/>
  <c r="Q30" i="11"/>
  <c r="S30" i="11"/>
  <c r="T30" i="11" s="1"/>
  <c r="R35" i="11"/>
  <c r="Q35" i="11"/>
  <c r="S35" i="11"/>
  <c r="T35" i="11" s="1"/>
  <c r="R64" i="11"/>
  <c r="Q64" i="11"/>
  <c r="U64" i="11" s="1"/>
  <c r="R51" i="11"/>
  <c r="Q51" i="11"/>
  <c r="U51" i="11" s="1"/>
  <c r="R70" i="11"/>
  <c r="Q70" i="11"/>
  <c r="U70" i="11" s="1"/>
  <c r="R49" i="11"/>
  <c r="Q49" i="11"/>
  <c r="U49" i="11" s="1"/>
  <c r="R58" i="11"/>
  <c r="Q58" i="11"/>
  <c r="U58" i="11" s="1"/>
  <c r="R66" i="11"/>
  <c r="Q66" i="11"/>
  <c r="S66" i="11"/>
  <c r="Q57" i="11"/>
  <c r="U57" i="11" s="1"/>
  <c r="R57" i="11"/>
  <c r="R25" i="11"/>
  <c r="Q25" i="11"/>
  <c r="U25" i="11" s="1"/>
  <c r="Q40" i="11"/>
  <c r="U40" i="11" s="1"/>
  <c r="R40" i="11"/>
  <c r="R36" i="11"/>
  <c r="Q36" i="11"/>
  <c r="S36" i="11"/>
  <c r="T36" i="11" s="1"/>
  <c r="Q33" i="11"/>
  <c r="U33" i="11" s="1"/>
  <c r="R33" i="11"/>
  <c r="R68" i="11"/>
  <c r="Q68" i="11"/>
  <c r="U68" i="11" s="1"/>
  <c r="R41" i="11"/>
  <c r="Q41" i="11"/>
  <c r="U41" i="11" s="1"/>
  <c r="R56" i="11"/>
  <c r="Q56" i="11"/>
  <c r="U56" i="11" s="1"/>
  <c r="R29" i="11"/>
  <c r="Q29" i="11"/>
  <c r="S29" i="11"/>
  <c r="T29" i="11" s="1"/>
  <c r="S54" i="11"/>
  <c r="Q54" i="11"/>
  <c r="R54" i="11"/>
  <c r="Q63" i="11"/>
  <c r="U63" i="11" s="1"/>
  <c r="R63" i="11"/>
  <c r="Q61" i="11"/>
  <c r="U61" i="11" s="1"/>
  <c r="R61" i="11"/>
  <c r="S73" i="11"/>
  <c r="T73" i="11" s="1"/>
  <c r="Q73" i="11"/>
  <c r="R73" i="11"/>
  <c r="R53" i="11"/>
  <c r="S53" i="11"/>
  <c r="Q53" i="11"/>
  <c r="R62" i="11"/>
  <c r="Q62" i="11"/>
  <c r="U62" i="11" s="1"/>
  <c r="R74" i="11"/>
  <c r="Q74" i="11"/>
  <c r="S74" i="11"/>
  <c r="T74" i="11" s="1"/>
  <c r="S65" i="11"/>
  <c r="Q65" i="11"/>
  <c r="R65" i="11"/>
  <c r="S28" i="11"/>
  <c r="T28" i="11" s="1"/>
  <c r="Q28" i="11"/>
  <c r="R28" i="11"/>
  <c r="R38" i="11"/>
  <c r="Q38" i="11"/>
  <c r="S38" i="11"/>
  <c r="T38" i="11" s="1"/>
  <c r="Q24" i="11"/>
  <c r="U24" i="11" s="1"/>
  <c r="R24" i="11"/>
  <c r="U43" i="11"/>
  <c r="U47" i="11"/>
  <c r="U46" i="11"/>
  <c r="Q42" i="11"/>
  <c r="U42" i="11" s="1"/>
  <c r="R42" i="11"/>
  <c r="R60" i="11"/>
  <c r="S60" i="11"/>
  <c r="Q60" i="11"/>
  <c r="Q52" i="11"/>
  <c r="U52" i="11" s="1"/>
  <c r="R52" i="11"/>
  <c r="S71" i="11"/>
  <c r="Q71" i="11"/>
  <c r="R71" i="11"/>
  <c r="Q50" i="11"/>
  <c r="U50" i="11" s="1"/>
  <c r="R50" i="11"/>
  <c r="S59" i="11"/>
  <c r="Q59" i="11"/>
  <c r="R59" i="11"/>
  <c r="Q67" i="11"/>
  <c r="U67" i="11" s="1"/>
  <c r="R67" i="11"/>
  <c r="R69" i="11"/>
  <c r="U69" i="11"/>
  <c r="S30" i="10"/>
  <c r="T30" i="10" s="1"/>
  <c r="Q30" i="10"/>
  <c r="R30" i="10"/>
  <c r="S36" i="10"/>
  <c r="T36" i="10" s="1"/>
  <c r="Q36" i="10"/>
  <c r="R36" i="10"/>
  <c r="R57" i="10"/>
  <c r="S57" i="10"/>
  <c r="Q57" i="10"/>
  <c r="R24" i="10"/>
  <c r="S24" i="10"/>
  <c r="T24" i="10" s="1"/>
  <c r="Q24" i="10"/>
  <c r="U53" i="10"/>
  <c r="U50" i="10"/>
  <c r="U48" i="10"/>
  <c r="R34" i="10"/>
  <c r="S34" i="10"/>
  <c r="T34" i="10" s="1"/>
  <c r="Q34" i="10"/>
  <c r="S39" i="10"/>
  <c r="T39" i="10" s="1"/>
  <c r="Q39" i="10"/>
  <c r="R39" i="10"/>
  <c r="S44" i="10"/>
  <c r="T44" i="10" s="1"/>
  <c r="Q44" i="10"/>
  <c r="R44" i="10"/>
  <c r="U88" i="10"/>
  <c r="U69" i="10"/>
  <c r="U78" i="10"/>
  <c r="S31" i="10"/>
  <c r="T31" i="10" s="1"/>
  <c r="Q31" i="10"/>
  <c r="R31" i="10"/>
  <c r="S43" i="10"/>
  <c r="T43" i="10" s="1"/>
  <c r="Q43" i="10"/>
  <c r="R43" i="10"/>
  <c r="R56" i="10"/>
  <c r="S56" i="10"/>
  <c r="Q56" i="10"/>
  <c r="S25" i="10"/>
  <c r="T25" i="10" s="1"/>
  <c r="Q25" i="10"/>
  <c r="R25" i="10"/>
  <c r="R35" i="10"/>
  <c r="S35" i="10"/>
  <c r="T35" i="10" s="1"/>
  <c r="Q35" i="10"/>
  <c r="S40" i="10"/>
  <c r="T40" i="10" s="1"/>
  <c r="Q40" i="10"/>
  <c r="R40" i="10"/>
  <c r="U60" i="10"/>
  <c r="T73" i="10"/>
  <c r="T79" i="10"/>
  <c r="R26" i="10"/>
  <c r="S26" i="10"/>
  <c r="T26" i="10" s="1"/>
  <c r="Q26" i="10"/>
  <c r="R32" i="10"/>
  <c r="S32" i="10"/>
  <c r="T32" i="10" s="1"/>
  <c r="Q32" i="10"/>
  <c r="S45" i="10"/>
  <c r="T45" i="10" s="1"/>
  <c r="Q45" i="10"/>
  <c r="R45" i="10"/>
  <c r="R55" i="10"/>
  <c r="S55" i="10"/>
  <c r="Q55" i="10"/>
  <c r="R28" i="10"/>
  <c r="S28" i="10"/>
  <c r="T28" i="10" s="1"/>
  <c r="Q28" i="10"/>
  <c r="S37" i="10"/>
  <c r="T37" i="10" s="1"/>
  <c r="Q37" i="10"/>
  <c r="R37" i="10"/>
  <c r="S41" i="10"/>
  <c r="T41" i="10" s="1"/>
  <c r="Q41" i="10"/>
  <c r="R41" i="10"/>
  <c r="U63" i="10"/>
  <c r="R59" i="10"/>
  <c r="S27" i="10"/>
  <c r="T27" i="10" s="1"/>
  <c r="Q27" i="10"/>
  <c r="R27" i="10"/>
  <c r="S33" i="10"/>
  <c r="T33" i="10" s="1"/>
  <c r="Q33" i="10"/>
  <c r="R33" i="10"/>
  <c r="S47" i="10"/>
  <c r="T47" i="10" s="1"/>
  <c r="Q47" i="10"/>
  <c r="R47" i="10"/>
  <c r="R54" i="10"/>
  <c r="Q54" i="10"/>
  <c r="U54" i="10" s="1"/>
  <c r="S29" i="10"/>
  <c r="T29" i="10" s="1"/>
  <c r="Q29" i="10"/>
  <c r="R29" i="10"/>
  <c r="S38" i="10"/>
  <c r="T38" i="10" s="1"/>
  <c r="Q38" i="10"/>
  <c r="R38" i="10"/>
  <c r="S42" i="10"/>
  <c r="T42" i="10" s="1"/>
  <c r="Q42" i="10"/>
  <c r="R42" i="10"/>
  <c r="U79" i="10"/>
  <c r="S31" i="9"/>
  <c r="T31" i="9" s="1"/>
  <c r="Q31" i="9"/>
  <c r="R31" i="9"/>
  <c r="Q33" i="9"/>
  <c r="U33" i="9" s="1"/>
  <c r="R33" i="9"/>
  <c r="S43" i="9"/>
  <c r="Q43" i="9"/>
  <c r="R43" i="9"/>
  <c r="R73" i="9"/>
  <c r="S73" i="9"/>
  <c r="Q73" i="9"/>
  <c r="R48" i="9"/>
  <c r="Q48" i="9"/>
  <c r="S48" i="9"/>
  <c r="R64" i="9"/>
  <c r="Q64" i="9"/>
  <c r="U64" i="9" s="1"/>
  <c r="R75" i="9"/>
  <c r="Q75" i="9"/>
  <c r="U75" i="9" s="1"/>
  <c r="Q74" i="9"/>
  <c r="U74" i="9" s="1"/>
  <c r="R74" i="9"/>
  <c r="Q25" i="9"/>
  <c r="U25" i="9" s="1"/>
  <c r="R25" i="9"/>
  <c r="Q61" i="9"/>
  <c r="U61" i="9" s="1"/>
  <c r="R61" i="9"/>
  <c r="R24" i="9"/>
  <c r="Q24" i="9"/>
  <c r="U24" i="9" s="1"/>
  <c r="S47" i="9"/>
  <c r="Q47" i="9"/>
  <c r="R47" i="9"/>
  <c r="Q59" i="9"/>
  <c r="U59" i="9" s="1"/>
  <c r="R59" i="9"/>
  <c r="R54" i="9"/>
  <c r="Q54" i="9"/>
  <c r="U54" i="9" s="1"/>
  <c r="S68" i="9"/>
  <c r="Q68" i="9"/>
  <c r="R68" i="9"/>
  <c r="R77" i="9"/>
  <c r="S77" i="9"/>
  <c r="T78" i="9" s="1"/>
  <c r="Q77" i="9"/>
  <c r="R44" i="9"/>
  <c r="Q44" i="9"/>
  <c r="U44" i="9" s="1"/>
  <c r="R60" i="9"/>
  <c r="Q60" i="9"/>
  <c r="U60" i="9" s="1"/>
  <c r="S72" i="9"/>
  <c r="Q72" i="9"/>
  <c r="R72" i="9"/>
  <c r="Q70" i="9"/>
  <c r="U70" i="9" s="1"/>
  <c r="R70" i="9"/>
  <c r="R83" i="9"/>
  <c r="Q83" i="9"/>
  <c r="S83" i="9"/>
  <c r="Q34" i="9"/>
  <c r="U34" i="9" s="1"/>
  <c r="R34" i="9"/>
  <c r="Q45" i="9"/>
  <c r="U45" i="9" s="1"/>
  <c r="R45" i="9"/>
  <c r="S63" i="9"/>
  <c r="Q63" i="9"/>
  <c r="R63" i="9"/>
  <c r="R28" i="9"/>
  <c r="Q28" i="9"/>
  <c r="S28" i="9"/>
  <c r="T28" i="9" s="1"/>
  <c r="Q51" i="9"/>
  <c r="U51" i="9" s="1"/>
  <c r="R51" i="9"/>
  <c r="R42" i="9"/>
  <c r="S42" i="9"/>
  <c r="Q42" i="9"/>
  <c r="R58" i="9"/>
  <c r="S58" i="9"/>
  <c r="Q58" i="9"/>
  <c r="R79" i="9"/>
  <c r="Q79" i="9"/>
  <c r="U79" i="9" s="1"/>
  <c r="S30" i="9"/>
  <c r="T30" i="9" s="1"/>
  <c r="Q30" i="9"/>
  <c r="R30" i="9"/>
  <c r="R26" i="9"/>
  <c r="Q26" i="9"/>
  <c r="U26" i="9" s="1"/>
  <c r="S35" i="9"/>
  <c r="T35" i="9" s="1"/>
  <c r="Q35" i="9"/>
  <c r="R35" i="9"/>
  <c r="Q49" i="9"/>
  <c r="U49" i="9" s="1"/>
  <c r="R49" i="9"/>
  <c r="R38" i="9"/>
  <c r="S38" i="9"/>
  <c r="T38" i="9" s="1"/>
  <c r="Q38" i="9"/>
  <c r="R36" i="9"/>
  <c r="S36" i="9"/>
  <c r="T36" i="9" s="1"/>
  <c r="Q36" i="9"/>
  <c r="S53" i="9"/>
  <c r="Q53" i="9"/>
  <c r="R53" i="9"/>
  <c r="R46" i="9"/>
  <c r="Q46" i="9"/>
  <c r="U46" i="9" s="1"/>
  <c r="R62" i="9"/>
  <c r="S62" i="9"/>
  <c r="T61" i="9" s="1"/>
  <c r="Q62" i="9"/>
  <c r="Q80" i="9"/>
  <c r="U80" i="9" s="1"/>
  <c r="R80" i="9"/>
  <c r="R69" i="9"/>
  <c r="Q69" i="9"/>
  <c r="U69" i="9" s="1"/>
  <c r="R52" i="9"/>
  <c r="Q52" i="9"/>
  <c r="S52" i="9"/>
  <c r="R65" i="9"/>
  <c r="Q65" i="9"/>
  <c r="U65" i="9" s="1"/>
  <c r="Q76" i="9"/>
  <c r="U76" i="9" s="1"/>
  <c r="R76" i="9"/>
  <c r="R78" i="9"/>
  <c r="S27" i="9"/>
  <c r="T27" i="9" s="1"/>
  <c r="Q27" i="9"/>
  <c r="R27" i="9"/>
  <c r="Q32" i="9"/>
  <c r="U32" i="9" s="1"/>
  <c r="R32" i="9"/>
  <c r="Q41" i="9"/>
  <c r="U41" i="9" s="1"/>
  <c r="R41" i="9"/>
  <c r="S57" i="9"/>
  <c r="Q57" i="9"/>
  <c r="R57" i="9"/>
  <c r="R37" i="9"/>
  <c r="S37" i="9"/>
  <c r="T37" i="9" s="1"/>
  <c r="Q37" i="9"/>
  <c r="Q39" i="9"/>
  <c r="U39" i="9" s="1"/>
  <c r="R39" i="9"/>
  <c r="Q55" i="9"/>
  <c r="U55" i="9" s="1"/>
  <c r="R55" i="9"/>
  <c r="R50" i="9"/>
  <c r="Q50" i="9"/>
  <c r="U50" i="9" s="1"/>
  <c r="R67" i="9"/>
  <c r="Q67" i="9"/>
  <c r="S67" i="9"/>
  <c r="R81" i="9"/>
  <c r="Q81" i="9"/>
  <c r="U81" i="9" s="1"/>
  <c r="R40" i="9"/>
  <c r="Q40" i="9"/>
  <c r="U40" i="9" s="1"/>
  <c r="R56" i="9"/>
  <c r="Q56" i="9"/>
  <c r="U56" i="9" s="1"/>
  <c r="R71" i="9"/>
  <c r="Q71" i="9"/>
  <c r="U71" i="9" s="1"/>
  <c r="Q66" i="9"/>
  <c r="U66" i="9" s="1"/>
  <c r="R66" i="9"/>
  <c r="S82" i="9"/>
  <c r="Q82" i="9"/>
  <c r="R82" i="9"/>
  <c r="W48" i="1"/>
  <c r="W49" i="1"/>
  <c r="W50" i="1"/>
  <c r="W51" i="1"/>
  <c r="W52" i="1"/>
  <c r="W53" i="1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50" i="2"/>
  <c r="L51" i="2"/>
  <c r="L52" i="2"/>
  <c r="L53" i="2"/>
  <c r="L54" i="2"/>
  <c r="L49" i="2"/>
  <c r="U48" i="11" l="1"/>
  <c r="U44" i="11"/>
  <c r="U45" i="11"/>
  <c r="U74" i="10"/>
  <c r="U71" i="11"/>
  <c r="U60" i="11"/>
  <c r="U38" i="11"/>
  <c r="U65" i="11"/>
  <c r="U54" i="11"/>
  <c r="U36" i="11"/>
  <c r="U35" i="11"/>
  <c r="U39" i="11"/>
  <c r="U27" i="11"/>
  <c r="U37" i="11"/>
  <c r="U86" i="10"/>
  <c r="U82" i="9"/>
  <c r="U27" i="9"/>
  <c r="U52" i="9"/>
  <c r="U62" i="9"/>
  <c r="U53" i="9"/>
  <c r="U36" i="9"/>
  <c r="U30" i="9"/>
  <c r="U58" i="9"/>
  <c r="U63" i="9"/>
  <c r="U84" i="10"/>
  <c r="U37" i="10"/>
  <c r="U28" i="10"/>
  <c r="U26" i="10"/>
  <c r="U40" i="10"/>
  <c r="U35" i="10"/>
  <c r="U25" i="10"/>
  <c r="U56" i="10"/>
  <c r="U43" i="10"/>
  <c r="U44" i="10"/>
  <c r="U52" i="10"/>
  <c r="U51" i="10"/>
  <c r="U49" i="10"/>
  <c r="U24" i="10"/>
  <c r="U30" i="10"/>
  <c r="U42" i="10"/>
  <c r="U29" i="10"/>
  <c r="U33" i="10"/>
  <c r="U61" i="10"/>
  <c r="U47" i="9"/>
  <c r="U31" i="9"/>
  <c r="U83" i="10"/>
  <c r="U38" i="10"/>
  <c r="U47" i="10"/>
  <c r="U27" i="10"/>
  <c r="U41" i="10"/>
  <c r="U55" i="10"/>
  <c r="U45" i="10"/>
  <c r="U32" i="10"/>
  <c r="U31" i="10"/>
  <c r="U39" i="10"/>
  <c r="U34" i="10"/>
  <c r="U57" i="10"/>
  <c r="U36" i="10"/>
  <c r="U59" i="11"/>
  <c r="U28" i="11"/>
  <c r="U74" i="11"/>
  <c r="U53" i="11"/>
  <c r="U73" i="11"/>
  <c r="U29" i="11"/>
  <c r="U66" i="11"/>
  <c r="U30" i="11"/>
  <c r="U72" i="11"/>
  <c r="U31" i="11"/>
  <c r="T68" i="10"/>
  <c r="T69" i="10"/>
  <c r="T77" i="10"/>
  <c r="T71" i="10"/>
  <c r="T75" i="10"/>
  <c r="T76" i="10"/>
  <c r="T63" i="10"/>
  <c r="T70" i="11"/>
  <c r="T65" i="11"/>
  <c r="T64" i="11"/>
  <c r="T59" i="11"/>
  <c r="T58" i="11"/>
  <c r="T53" i="11"/>
  <c r="T52" i="11"/>
  <c r="T71" i="11"/>
  <c r="T65" i="10"/>
  <c r="T62" i="10"/>
  <c r="T83" i="10"/>
  <c r="T80" i="10"/>
  <c r="T82" i="10"/>
  <c r="T64" i="10"/>
  <c r="T55" i="10"/>
  <c r="T81" i="9"/>
  <c r="U67" i="9"/>
  <c r="U37" i="9"/>
  <c r="U57" i="9"/>
  <c r="U38" i="9"/>
  <c r="U35" i="9"/>
  <c r="U42" i="9"/>
  <c r="U28" i="9"/>
  <c r="U83" i="9"/>
  <c r="U72" i="9"/>
  <c r="U77" i="9"/>
  <c r="U68" i="9"/>
  <c r="U48" i="9"/>
  <c r="U73" i="9"/>
  <c r="U43" i="9"/>
  <c r="T67" i="9"/>
  <c r="T66" i="9"/>
  <c r="T57" i="9"/>
  <c r="T56" i="9"/>
  <c r="T52" i="9"/>
  <c r="T51" i="9"/>
  <c r="T77" i="9"/>
  <c r="T76" i="9"/>
  <c r="T42" i="9"/>
  <c r="T41" i="9"/>
  <c r="T71" i="9"/>
  <c r="T47" i="9"/>
  <c r="T46" i="9"/>
  <c r="T62" i="9"/>
  <c r="T82" i="9"/>
  <c r="T72" i="9"/>
  <c r="T54" i="11"/>
  <c r="T72" i="11"/>
  <c r="T60" i="11"/>
  <c r="T66" i="11"/>
  <c r="T59" i="10"/>
  <c r="T58" i="10"/>
  <c r="T56" i="10"/>
  <c r="T57" i="10"/>
  <c r="T58" i="9"/>
  <c r="T53" i="9"/>
  <c r="T63" i="9"/>
  <c r="T83" i="9"/>
  <c r="T68" i="9"/>
  <c r="T48" i="9"/>
  <c r="T73" i="9"/>
  <c r="T43" i="9"/>
  <c r="B52" i="1"/>
  <c r="B48" i="1"/>
  <c r="B50" i="1"/>
  <c r="B53" i="1"/>
  <c r="B51" i="1"/>
  <c r="B49" i="1"/>
  <c r="K68" i="2"/>
  <c r="K69" i="2"/>
  <c r="K70" i="2"/>
  <c r="K71" i="2"/>
  <c r="K72" i="2"/>
  <c r="K67" i="2"/>
  <c r="K62" i="2"/>
  <c r="K63" i="2"/>
  <c r="K64" i="2"/>
  <c r="K65" i="2"/>
  <c r="K66" i="2"/>
  <c r="K61" i="2"/>
  <c r="C19" i="11" l="1"/>
  <c r="B43" i="7" s="1"/>
  <c r="C19" i="10"/>
  <c r="B34" i="7" s="1"/>
  <c r="C18" i="11"/>
  <c r="B42" i="7" s="1"/>
  <c r="C17" i="11"/>
  <c r="C20" i="10"/>
  <c r="B35" i="7" s="1"/>
  <c r="C18" i="10"/>
  <c r="C16" i="11"/>
  <c r="B40" i="7" s="1"/>
  <c r="C16" i="10"/>
  <c r="B31" i="7" s="1"/>
  <c r="C17" i="10"/>
  <c r="B32" i="7" s="1"/>
  <c r="C20" i="11"/>
  <c r="B44" i="7" s="1"/>
  <c r="C18" i="9"/>
  <c r="B24" i="7" s="1"/>
  <c r="C17" i="9"/>
  <c r="B23" i="7" s="1"/>
  <c r="C20" i="9"/>
  <c r="B26" i="7" s="1"/>
  <c r="C16" i="9"/>
  <c r="B22" i="7" s="1"/>
  <c r="C19" i="9"/>
  <c r="B25" i="7" s="1"/>
  <c r="N20" i="11"/>
  <c r="M44" i="7" s="1"/>
  <c r="N18" i="11"/>
  <c r="M42" i="7" s="1"/>
  <c r="J20" i="10"/>
  <c r="I35" i="7" s="1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49" i="2"/>
  <c r="N35" i="1"/>
  <c r="K35" i="1"/>
  <c r="I35" i="1"/>
  <c r="J35" i="1" s="1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64" i="3"/>
  <c r="M19" i="11" l="1"/>
  <c r="L43" i="7" s="1"/>
  <c r="H19" i="11"/>
  <c r="G43" i="7" s="1"/>
  <c r="I18" i="11"/>
  <c r="H42" i="7" s="1"/>
  <c r="E19" i="11"/>
  <c r="D43" i="7" s="1"/>
  <c r="G16" i="11"/>
  <c r="F40" i="7" s="1"/>
  <c r="F18" i="11"/>
  <c r="E42" i="7" s="1"/>
  <c r="D17" i="11"/>
  <c r="C41" i="7" s="1"/>
  <c r="B41" i="7"/>
  <c r="K20" i="10"/>
  <c r="J35" i="7" s="1"/>
  <c r="F18" i="10"/>
  <c r="E33" i="7" s="1"/>
  <c r="B33" i="7"/>
  <c r="J17" i="9"/>
  <c r="I23" i="7" s="1"/>
  <c r="F17" i="10"/>
  <c r="E32" i="7" s="1"/>
  <c r="L20" i="10"/>
  <c r="K35" i="7" s="1"/>
  <c r="M17" i="10"/>
  <c r="L32" i="7" s="1"/>
  <c r="N17" i="10"/>
  <c r="M32" i="7" s="1"/>
  <c r="F19" i="10"/>
  <c r="E34" i="7" s="1"/>
  <c r="E19" i="10"/>
  <c r="D34" i="7" s="1"/>
  <c r="N19" i="10"/>
  <c r="M34" i="7" s="1"/>
  <c r="I16" i="10"/>
  <c r="H31" i="7" s="1"/>
  <c r="G19" i="10"/>
  <c r="F34" i="7" s="1"/>
  <c r="M19" i="10"/>
  <c r="L34" i="7" s="1"/>
  <c r="J19" i="10"/>
  <c r="I34" i="7" s="1"/>
  <c r="I17" i="11"/>
  <c r="H41" i="7" s="1"/>
  <c r="D20" i="10"/>
  <c r="C35" i="7" s="1"/>
  <c r="G20" i="10"/>
  <c r="F35" i="7" s="1"/>
  <c r="E17" i="10"/>
  <c r="D32" i="7" s="1"/>
  <c r="K17" i="10"/>
  <c r="J32" i="7" s="1"/>
  <c r="J17" i="10"/>
  <c r="I32" i="7" s="1"/>
  <c r="D19" i="11"/>
  <c r="C43" i="7" s="1"/>
  <c r="L19" i="11"/>
  <c r="K43" i="7" s="1"/>
  <c r="I19" i="11"/>
  <c r="H43" i="7" s="1"/>
  <c r="J16" i="11"/>
  <c r="I40" i="7" s="1"/>
  <c r="E18" i="11"/>
  <c r="D42" i="7" s="1"/>
  <c r="M18" i="11"/>
  <c r="L42" i="7" s="1"/>
  <c r="J18" i="11"/>
  <c r="I42" i="7" s="1"/>
  <c r="F19" i="11"/>
  <c r="E43" i="7" s="1"/>
  <c r="J19" i="11"/>
  <c r="I43" i="7" s="1"/>
  <c r="N19" i="11"/>
  <c r="M43" i="7" s="1"/>
  <c r="G19" i="11"/>
  <c r="F43" i="7" s="1"/>
  <c r="K19" i="11"/>
  <c r="J43" i="7" s="1"/>
  <c r="F16" i="11"/>
  <c r="E40" i="7" s="1"/>
  <c r="N16" i="11"/>
  <c r="M40" i="7" s="1"/>
  <c r="K16" i="11"/>
  <c r="J40" i="7" s="1"/>
  <c r="G18" i="11"/>
  <c r="F42" i="7" s="1"/>
  <c r="K18" i="11"/>
  <c r="J42" i="7" s="1"/>
  <c r="D18" i="11"/>
  <c r="C42" i="7" s="1"/>
  <c r="H18" i="11"/>
  <c r="G42" i="7" s="1"/>
  <c r="L18" i="11"/>
  <c r="K42" i="7" s="1"/>
  <c r="L16" i="10"/>
  <c r="K31" i="7" s="1"/>
  <c r="G18" i="10"/>
  <c r="F33" i="7" s="1"/>
  <c r="K19" i="10"/>
  <c r="J34" i="7" s="1"/>
  <c r="I19" i="10"/>
  <c r="H34" i="7" s="1"/>
  <c r="D19" i="10"/>
  <c r="C34" i="7" s="1"/>
  <c r="H19" i="10"/>
  <c r="G34" i="7" s="1"/>
  <c r="L19" i="10"/>
  <c r="K34" i="7" s="1"/>
  <c r="L17" i="11"/>
  <c r="K41" i="7" s="1"/>
  <c r="I20" i="11"/>
  <c r="H44" i="7" s="1"/>
  <c r="K16" i="10"/>
  <c r="J31" i="7" s="1"/>
  <c r="H18" i="10"/>
  <c r="G33" i="7" s="1"/>
  <c r="N18" i="10"/>
  <c r="M33" i="7" s="1"/>
  <c r="K18" i="10"/>
  <c r="J33" i="7" s="1"/>
  <c r="H17" i="11"/>
  <c r="G41" i="7" s="1"/>
  <c r="E17" i="11"/>
  <c r="D41" i="7" s="1"/>
  <c r="M17" i="11"/>
  <c r="L41" i="7" s="1"/>
  <c r="F20" i="11"/>
  <c r="E44" i="7" s="1"/>
  <c r="D16" i="10"/>
  <c r="C31" i="7" s="1"/>
  <c r="H16" i="10"/>
  <c r="G31" i="7" s="1"/>
  <c r="D18" i="10"/>
  <c r="C33" i="7" s="1"/>
  <c r="L18" i="10"/>
  <c r="K33" i="7" s="1"/>
  <c r="J18" i="10"/>
  <c r="I33" i="7" s="1"/>
  <c r="E18" i="10"/>
  <c r="D33" i="7" s="1"/>
  <c r="I18" i="10"/>
  <c r="H33" i="7" s="1"/>
  <c r="M18" i="10"/>
  <c r="L33" i="7" s="1"/>
  <c r="F17" i="11"/>
  <c r="E41" i="7" s="1"/>
  <c r="J17" i="11"/>
  <c r="I41" i="7" s="1"/>
  <c r="N17" i="11"/>
  <c r="M41" i="7" s="1"/>
  <c r="G17" i="11"/>
  <c r="F41" i="7" s="1"/>
  <c r="K17" i="11"/>
  <c r="J41" i="7" s="1"/>
  <c r="E20" i="11"/>
  <c r="D44" i="7" s="1"/>
  <c r="M20" i="11"/>
  <c r="L44" i="7" s="1"/>
  <c r="J20" i="11"/>
  <c r="I44" i="7" s="1"/>
  <c r="E18" i="9"/>
  <c r="D24" i="7" s="1"/>
  <c r="F20" i="10"/>
  <c r="E35" i="7" s="1"/>
  <c r="N20" i="10"/>
  <c r="M35" i="7" s="1"/>
  <c r="H20" i="10"/>
  <c r="G35" i="7" s="1"/>
  <c r="E20" i="10"/>
  <c r="D35" i="7" s="1"/>
  <c r="I20" i="10"/>
  <c r="H35" i="7" s="1"/>
  <c r="M20" i="10"/>
  <c r="L35" i="7" s="1"/>
  <c r="I17" i="10"/>
  <c r="H32" i="7" s="1"/>
  <c r="G17" i="10"/>
  <c r="F32" i="7" s="1"/>
  <c r="D17" i="10"/>
  <c r="C32" i="7" s="1"/>
  <c r="H17" i="10"/>
  <c r="G32" i="7" s="1"/>
  <c r="L17" i="10"/>
  <c r="K32" i="7" s="1"/>
  <c r="D16" i="11"/>
  <c r="C40" i="7" s="1"/>
  <c r="H16" i="11"/>
  <c r="G40" i="7" s="1"/>
  <c r="L16" i="11"/>
  <c r="K40" i="7" s="1"/>
  <c r="E16" i="11"/>
  <c r="D40" i="7" s="1"/>
  <c r="I16" i="11"/>
  <c r="H40" i="7" s="1"/>
  <c r="M16" i="11"/>
  <c r="L40" i="7" s="1"/>
  <c r="E16" i="10"/>
  <c r="D31" i="7" s="1"/>
  <c r="M16" i="10"/>
  <c r="L31" i="7" s="1"/>
  <c r="G16" i="10"/>
  <c r="F31" i="7" s="1"/>
  <c r="F16" i="10"/>
  <c r="E31" i="7" s="1"/>
  <c r="J16" i="10"/>
  <c r="I31" i="7" s="1"/>
  <c r="N16" i="10"/>
  <c r="M31" i="7" s="1"/>
  <c r="G20" i="11"/>
  <c r="F44" i="7" s="1"/>
  <c r="K20" i="11"/>
  <c r="J44" i="7" s="1"/>
  <c r="D20" i="11"/>
  <c r="C44" i="7" s="1"/>
  <c r="H20" i="11"/>
  <c r="G44" i="7" s="1"/>
  <c r="L20" i="11"/>
  <c r="K44" i="7" s="1"/>
  <c r="N18" i="9"/>
  <c r="M24" i="7" s="1"/>
  <c r="M18" i="9"/>
  <c r="L24" i="7" s="1"/>
  <c r="L20" i="9"/>
  <c r="K26" i="7" s="1"/>
  <c r="F18" i="9"/>
  <c r="E24" i="7" s="1"/>
  <c r="H18" i="9"/>
  <c r="G24" i="7" s="1"/>
  <c r="I18" i="9"/>
  <c r="H24" i="7" s="1"/>
  <c r="E20" i="9"/>
  <c r="D26" i="7" s="1"/>
  <c r="G17" i="9"/>
  <c r="F23" i="7" s="1"/>
  <c r="J18" i="9"/>
  <c r="I24" i="7" s="1"/>
  <c r="D18" i="9"/>
  <c r="C24" i="7" s="1"/>
  <c r="L18" i="9"/>
  <c r="K24" i="7" s="1"/>
  <c r="G18" i="9"/>
  <c r="F24" i="7" s="1"/>
  <c r="K18" i="9"/>
  <c r="J24" i="7" s="1"/>
  <c r="D20" i="9"/>
  <c r="C26" i="7" s="1"/>
  <c r="J20" i="9"/>
  <c r="I26" i="7" s="1"/>
  <c r="K20" i="9"/>
  <c r="J26" i="7" s="1"/>
  <c r="M17" i="9"/>
  <c r="L23" i="7" s="1"/>
  <c r="I16" i="9"/>
  <c r="H22" i="7" s="1"/>
  <c r="E17" i="9"/>
  <c r="D23" i="7" s="1"/>
  <c r="F17" i="9"/>
  <c r="E23" i="7" s="1"/>
  <c r="N17" i="9"/>
  <c r="M23" i="7" s="1"/>
  <c r="H16" i="9"/>
  <c r="G22" i="7" s="1"/>
  <c r="H20" i="9"/>
  <c r="G26" i="7" s="1"/>
  <c r="F20" i="9"/>
  <c r="E26" i="7" s="1"/>
  <c r="N20" i="9"/>
  <c r="M26" i="7" s="1"/>
  <c r="G20" i="9"/>
  <c r="F26" i="7" s="1"/>
  <c r="G19" i="9"/>
  <c r="F25" i="7" s="1"/>
  <c r="I20" i="9"/>
  <c r="H26" i="7" s="1"/>
  <c r="M20" i="9"/>
  <c r="L26" i="7" s="1"/>
  <c r="H19" i="9"/>
  <c r="G25" i="7" s="1"/>
  <c r="K17" i="9"/>
  <c r="J23" i="7" s="1"/>
  <c r="I17" i="9"/>
  <c r="H23" i="7" s="1"/>
  <c r="D17" i="9"/>
  <c r="C23" i="7" s="1"/>
  <c r="H17" i="9"/>
  <c r="G23" i="7" s="1"/>
  <c r="L17" i="9"/>
  <c r="K23" i="7" s="1"/>
  <c r="K16" i="9"/>
  <c r="J22" i="7" s="1"/>
  <c r="D16" i="9"/>
  <c r="C22" i="7" s="1"/>
  <c r="L16" i="9"/>
  <c r="K22" i="7" s="1"/>
  <c r="G16" i="9"/>
  <c r="F22" i="7" s="1"/>
  <c r="E16" i="9"/>
  <c r="D22" i="7" s="1"/>
  <c r="M16" i="9"/>
  <c r="L22" i="7" s="1"/>
  <c r="F16" i="9"/>
  <c r="E22" i="7" s="1"/>
  <c r="J16" i="9"/>
  <c r="I22" i="7" s="1"/>
  <c r="N16" i="9"/>
  <c r="M22" i="7" s="1"/>
  <c r="I19" i="9"/>
  <c r="H25" i="7" s="1"/>
  <c r="D19" i="9"/>
  <c r="C25" i="7" s="1"/>
  <c r="L19" i="9"/>
  <c r="K25" i="7" s="1"/>
  <c r="E19" i="9"/>
  <c r="D25" i="7" s="1"/>
  <c r="M19" i="9"/>
  <c r="L25" i="7" s="1"/>
  <c r="K19" i="9"/>
  <c r="J25" i="7" s="1"/>
  <c r="F19" i="9"/>
  <c r="E25" i="7" s="1"/>
  <c r="J19" i="9"/>
  <c r="I25" i="7" s="1"/>
  <c r="N19" i="9"/>
  <c r="M25" i="7" s="1"/>
  <c r="O19" i="11"/>
  <c r="N43" i="7" s="1"/>
  <c r="M35" i="1"/>
  <c r="W35" i="1" s="1"/>
  <c r="H12" i="2"/>
  <c r="H12" i="3"/>
  <c r="O18" i="10" l="1"/>
  <c r="N33" i="7" s="1"/>
  <c r="O18" i="11"/>
  <c r="N42" i="7" s="1"/>
  <c r="O17" i="10"/>
  <c r="N32" i="7" s="1"/>
  <c r="O19" i="10"/>
  <c r="N34" i="7" s="1"/>
  <c r="O20" i="10"/>
  <c r="N35" i="7" s="1"/>
  <c r="O17" i="11"/>
  <c r="N41" i="7" s="1"/>
  <c r="O20" i="11"/>
  <c r="N44" i="7" s="1"/>
  <c r="O17" i="9"/>
  <c r="N23" i="7" s="1"/>
  <c r="O18" i="9"/>
  <c r="N24" i="7" s="1"/>
  <c r="O20" i="9"/>
  <c r="N26" i="7" s="1"/>
  <c r="O19" i="9"/>
  <c r="N25" i="7" s="1"/>
  <c r="L73" i="2"/>
  <c r="L74" i="2"/>
  <c r="I73" i="2"/>
  <c r="J73" i="2" s="1"/>
  <c r="I74" i="2"/>
  <c r="J74" i="2" s="1"/>
  <c r="K73" i="2"/>
  <c r="N73" i="2"/>
  <c r="K74" i="2"/>
  <c r="N74" i="2"/>
  <c r="L47" i="2"/>
  <c r="L48" i="2"/>
  <c r="L46" i="2"/>
  <c r="L44" i="2"/>
  <c r="L45" i="2"/>
  <c r="L43" i="2"/>
  <c r="L33" i="2"/>
  <c r="L34" i="2"/>
  <c r="L35" i="2"/>
  <c r="L36" i="2"/>
  <c r="L37" i="2"/>
  <c r="L38" i="2"/>
  <c r="L39" i="2"/>
  <c r="L32" i="2"/>
  <c r="K50" i="2"/>
  <c r="K51" i="2"/>
  <c r="K52" i="2"/>
  <c r="K53" i="2"/>
  <c r="K54" i="2"/>
  <c r="K55" i="2"/>
  <c r="K56" i="2"/>
  <c r="K57" i="2"/>
  <c r="K58" i="2"/>
  <c r="K59" i="2"/>
  <c r="K60" i="2"/>
  <c r="K49" i="2"/>
  <c r="K47" i="2"/>
  <c r="K48" i="2"/>
  <c r="K46" i="2"/>
  <c r="K44" i="2"/>
  <c r="K45" i="2"/>
  <c r="K43" i="2"/>
  <c r="K41" i="2"/>
  <c r="K42" i="2"/>
  <c r="K40" i="2"/>
  <c r="K33" i="2"/>
  <c r="K34" i="2"/>
  <c r="K35" i="2"/>
  <c r="K36" i="2"/>
  <c r="K37" i="2"/>
  <c r="K38" i="2"/>
  <c r="K39" i="2"/>
  <c r="K32" i="2"/>
  <c r="K28" i="2"/>
  <c r="K29" i="2"/>
  <c r="K30" i="2"/>
  <c r="K31" i="2"/>
  <c r="K27" i="2"/>
  <c r="K25" i="2"/>
  <c r="K26" i="2"/>
  <c r="K24" i="2"/>
  <c r="L33" i="3"/>
  <c r="L34" i="3"/>
  <c r="L35" i="3"/>
  <c r="L36" i="3"/>
  <c r="L37" i="3"/>
  <c r="L38" i="3"/>
  <c r="L32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64" i="3"/>
  <c r="K60" i="3"/>
  <c r="K61" i="3"/>
  <c r="K62" i="3"/>
  <c r="K63" i="3"/>
  <c r="K59" i="3"/>
  <c r="K55" i="3"/>
  <c r="K56" i="3"/>
  <c r="K57" i="3"/>
  <c r="K58" i="3"/>
  <c r="K54" i="3"/>
  <c r="K50" i="3"/>
  <c r="K51" i="3"/>
  <c r="K52" i="3"/>
  <c r="K53" i="3"/>
  <c r="K49" i="3"/>
  <c r="K45" i="3"/>
  <c r="K46" i="3"/>
  <c r="K47" i="3"/>
  <c r="K48" i="3"/>
  <c r="K44" i="3"/>
  <c r="K40" i="3"/>
  <c r="K41" i="3"/>
  <c r="K42" i="3"/>
  <c r="K43" i="3"/>
  <c r="K39" i="3"/>
  <c r="K33" i="3"/>
  <c r="K34" i="3"/>
  <c r="K35" i="3"/>
  <c r="K36" i="3"/>
  <c r="K37" i="3"/>
  <c r="K38" i="3"/>
  <c r="K32" i="3"/>
  <c r="K25" i="3"/>
  <c r="K26" i="3"/>
  <c r="K27" i="3"/>
  <c r="K28" i="3"/>
  <c r="K29" i="3"/>
  <c r="K24" i="3"/>
  <c r="L85" i="1"/>
  <c r="L86" i="1"/>
  <c r="L87" i="1"/>
  <c r="L88" i="1"/>
  <c r="L8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54" i="1"/>
  <c r="L49" i="1"/>
  <c r="L50" i="1"/>
  <c r="L51" i="1"/>
  <c r="L52" i="1"/>
  <c r="L53" i="1"/>
  <c r="L48" i="1"/>
  <c r="L47" i="1"/>
  <c r="L43" i="1"/>
  <c r="L44" i="1"/>
  <c r="L45" i="1"/>
  <c r="L46" i="1"/>
  <c r="L42" i="1"/>
  <c r="L38" i="1"/>
  <c r="L39" i="1"/>
  <c r="L40" i="1"/>
  <c r="L41" i="1"/>
  <c r="L37" i="1"/>
  <c r="K85" i="1"/>
  <c r="K86" i="1"/>
  <c r="K87" i="1"/>
  <c r="K88" i="1"/>
  <c r="K84" i="1"/>
  <c r="K79" i="1"/>
  <c r="K80" i="1"/>
  <c r="K81" i="1"/>
  <c r="K82" i="1"/>
  <c r="K83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54" i="1"/>
  <c r="K49" i="1"/>
  <c r="K50" i="1"/>
  <c r="K48" i="1"/>
  <c r="K47" i="1"/>
  <c r="K38" i="1"/>
  <c r="K39" i="1"/>
  <c r="K40" i="1"/>
  <c r="K41" i="1"/>
  <c r="K37" i="1"/>
  <c r="K25" i="1"/>
  <c r="K26" i="1"/>
  <c r="K27" i="1"/>
  <c r="K28" i="1"/>
  <c r="K29" i="1"/>
  <c r="K30" i="1"/>
  <c r="K31" i="1"/>
  <c r="K24" i="1"/>
  <c r="P54" i="1" l="1"/>
  <c r="P55" i="1"/>
  <c r="N55" i="1" s="1"/>
  <c r="P56" i="1"/>
  <c r="N56" i="1" s="1"/>
  <c r="P57" i="1"/>
  <c r="N57" i="1" s="1"/>
  <c r="P58" i="1"/>
  <c r="N58" i="1" s="1"/>
  <c r="P59" i="1"/>
  <c r="N59" i="1" s="1"/>
  <c r="P60" i="1"/>
  <c r="N60" i="1" s="1"/>
  <c r="P61" i="1"/>
  <c r="N61" i="1" s="1"/>
  <c r="P62" i="1"/>
  <c r="N62" i="1" s="1"/>
  <c r="P63" i="1"/>
  <c r="N63" i="1" s="1"/>
  <c r="P64" i="1"/>
  <c r="N64" i="1" s="1"/>
  <c r="P65" i="1"/>
  <c r="N65" i="1" s="1"/>
  <c r="P66" i="1"/>
  <c r="N66" i="1" s="1"/>
  <c r="P67" i="1"/>
  <c r="N67" i="1" s="1"/>
  <c r="P68" i="1"/>
  <c r="N68" i="1" s="1"/>
  <c r="P69" i="1"/>
  <c r="N69" i="1" s="1"/>
  <c r="P70" i="1"/>
  <c r="N70" i="1" s="1"/>
  <c r="P71" i="1"/>
  <c r="N71" i="1" s="1"/>
  <c r="P72" i="1"/>
  <c r="N72" i="1" s="1"/>
  <c r="P73" i="1"/>
  <c r="N73" i="1" s="1"/>
  <c r="P74" i="1"/>
  <c r="N74" i="1" s="1"/>
  <c r="P75" i="1"/>
  <c r="N75" i="1" s="1"/>
  <c r="P76" i="1"/>
  <c r="N76" i="1" s="1"/>
  <c r="P77" i="1"/>
  <c r="N77" i="1" s="1"/>
  <c r="P78" i="1"/>
  <c r="N78" i="1" s="1"/>
  <c r="P79" i="1"/>
  <c r="N79" i="1" s="1"/>
  <c r="P80" i="1"/>
  <c r="N80" i="1" s="1"/>
  <c r="P81" i="1"/>
  <c r="N81" i="1" s="1"/>
  <c r="P82" i="1"/>
  <c r="N82" i="1" s="1"/>
  <c r="P83" i="1"/>
  <c r="N83" i="1" s="1"/>
  <c r="N84" i="1"/>
  <c r="N85" i="1"/>
  <c r="N86" i="1"/>
  <c r="N87" i="1"/>
  <c r="N88" i="1"/>
  <c r="L78" i="1"/>
  <c r="L79" i="1"/>
  <c r="L80" i="1"/>
  <c r="L81" i="1"/>
  <c r="L82" i="1"/>
  <c r="L83" i="1"/>
  <c r="K78" i="1"/>
  <c r="I54" i="1"/>
  <c r="I55" i="1"/>
  <c r="I56" i="1"/>
  <c r="J56" i="1" s="1"/>
  <c r="M56" i="1" s="1"/>
  <c r="W56" i="1" s="1"/>
  <c r="I57" i="1"/>
  <c r="J57" i="1" s="1"/>
  <c r="M57" i="1" s="1"/>
  <c r="W57" i="1" s="1"/>
  <c r="I58" i="1"/>
  <c r="J58" i="1" s="1"/>
  <c r="M58" i="1" s="1"/>
  <c r="W58" i="1" s="1"/>
  <c r="I59" i="1"/>
  <c r="J59" i="1" s="1"/>
  <c r="M59" i="1" s="1"/>
  <c r="W59" i="1" s="1"/>
  <c r="I60" i="1"/>
  <c r="J60" i="1" s="1"/>
  <c r="M60" i="1" s="1"/>
  <c r="W60" i="1" s="1"/>
  <c r="I61" i="1"/>
  <c r="J61" i="1" s="1"/>
  <c r="M61" i="1" s="1"/>
  <c r="W61" i="1" s="1"/>
  <c r="I62" i="1"/>
  <c r="J62" i="1" s="1"/>
  <c r="M62" i="1" s="1"/>
  <c r="W62" i="1" s="1"/>
  <c r="I63" i="1"/>
  <c r="J63" i="1" s="1"/>
  <c r="M63" i="1" s="1"/>
  <c r="W63" i="1" s="1"/>
  <c r="I64" i="1"/>
  <c r="J64" i="1" s="1"/>
  <c r="M64" i="1" s="1"/>
  <c r="W64" i="1" s="1"/>
  <c r="I65" i="1"/>
  <c r="J65" i="1" s="1"/>
  <c r="M65" i="1" s="1"/>
  <c r="W65" i="1" s="1"/>
  <c r="I66" i="1"/>
  <c r="J66" i="1" s="1"/>
  <c r="M66" i="1" s="1"/>
  <c r="W66" i="1" s="1"/>
  <c r="I67" i="1"/>
  <c r="J67" i="1" s="1"/>
  <c r="M67" i="1" s="1"/>
  <c r="W67" i="1" s="1"/>
  <c r="I68" i="1"/>
  <c r="J68" i="1" s="1"/>
  <c r="M68" i="1" s="1"/>
  <c r="W68" i="1" s="1"/>
  <c r="I69" i="1"/>
  <c r="J69" i="1" s="1"/>
  <c r="M69" i="1" s="1"/>
  <c r="W69" i="1" s="1"/>
  <c r="I70" i="1"/>
  <c r="J70" i="1" s="1"/>
  <c r="M70" i="1" s="1"/>
  <c r="W70" i="1" s="1"/>
  <c r="I71" i="1"/>
  <c r="J71" i="1" s="1"/>
  <c r="M71" i="1" s="1"/>
  <c r="W71" i="1" s="1"/>
  <c r="I72" i="1"/>
  <c r="J72" i="1" s="1"/>
  <c r="M72" i="1" s="1"/>
  <c r="W72" i="1" s="1"/>
  <c r="I73" i="1"/>
  <c r="J73" i="1" s="1"/>
  <c r="M73" i="1" s="1"/>
  <c r="W73" i="1" s="1"/>
  <c r="I74" i="1"/>
  <c r="J74" i="1" s="1"/>
  <c r="M74" i="1" s="1"/>
  <c r="W74" i="1" s="1"/>
  <c r="I75" i="1"/>
  <c r="J75" i="1" s="1"/>
  <c r="M75" i="1" s="1"/>
  <c r="W75" i="1" s="1"/>
  <c r="I76" i="1"/>
  <c r="J76" i="1" s="1"/>
  <c r="M76" i="1" s="1"/>
  <c r="W76" i="1" s="1"/>
  <c r="I77" i="1"/>
  <c r="J77" i="1" s="1"/>
  <c r="M77" i="1" s="1"/>
  <c r="W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M84" i="1" s="1"/>
  <c r="W84" i="1" s="1"/>
  <c r="I85" i="1"/>
  <c r="J85" i="1" s="1"/>
  <c r="M85" i="1" s="1"/>
  <c r="W85" i="1" s="1"/>
  <c r="I86" i="1"/>
  <c r="J86" i="1" s="1"/>
  <c r="M86" i="1" s="1"/>
  <c r="W86" i="1" s="1"/>
  <c r="I87" i="1"/>
  <c r="I88" i="1"/>
  <c r="J88" i="1" s="1"/>
  <c r="M88" i="1" s="1"/>
  <c r="W88" i="1" s="1"/>
  <c r="J87" i="1"/>
  <c r="M87" i="1" s="1"/>
  <c r="W87" i="1" s="1"/>
  <c r="M83" i="1" l="1"/>
  <c r="W83" i="1" s="1"/>
  <c r="M81" i="1"/>
  <c r="W81" i="1" s="1"/>
  <c r="M79" i="1"/>
  <c r="W79" i="1" s="1"/>
  <c r="M82" i="1"/>
  <c r="W82" i="1" s="1"/>
  <c r="M80" i="1"/>
  <c r="W80" i="1" s="1"/>
  <c r="M78" i="1"/>
  <c r="W78" i="1" s="1"/>
  <c r="P83" i="3" l="1"/>
  <c r="N83" i="3" s="1"/>
  <c r="I83" i="3"/>
  <c r="J83" i="3" s="1"/>
  <c r="P82" i="3"/>
  <c r="N82" i="3" s="1"/>
  <c r="I82" i="3"/>
  <c r="J82" i="3" s="1"/>
  <c r="P81" i="3"/>
  <c r="N81" i="3" s="1"/>
  <c r="I81" i="3"/>
  <c r="J81" i="3" s="1"/>
  <c r="S80" i="3"/>
  <c r="T80" i="3" s="1"/>
  <c r="P80" i="3"/>
  <c r="N80" i="3" s="1"/>
  <c r="I80" i="3"/>
  <c r="J80" i="3" s="1"/>
  <c r="S79" i="3"/>
  <c r="T79" i="3" s="1"/>
  <c r="P79" i="3"/>
  <c r="N79" i="3" s="1"/>
  <c r="I79" i="3"/>
  <c r="J79" i="3" s="1"/>
  <c r="P78" i="3"/>
  <c r="N78" i="3" s="1"/>
  <c r="I78" i="3"/>
  <c r="J78" i="3" s="1"/>
  <c r="P77" i="3"/>
  <c r="N77" i="3" s="1"/>
  <c r="I77" i="3"/>
  <c r="J77" i="3" s="1"/>
  <c r="P76" i="3"/>
  <c r="N76" i="3" s="1"/>
  <c r="I76" i="3"/>
  <c r="J76" i="3" s="1"/>
  <c r="S75" i="3"/>
  <c r="T75" i="3" s="1"/>
  <c r="P75" i="3"/>
  <c r="N75" i="3" s="1"/>
  <c r="I75" i="3"/>
  <c r="J75" i="3" s="1"/>
  <c r="S74" i="3"/>
  <c r="T74" i="3" s="1"/>
  <c r="P74" i="3"/>
  <c r="N74" i="3" s="1"/>
  <c r="I74" i="3"/>
  <c r="J74" i="3" s="1"/>
  <c r="P73" i="3"/>
  <c r="N73" i="3" s="1"/>
  <c r="I73" i="3"/>
  <c r="J73" i="3" s="1"/>
  <c r="P72" i="3"/>
  <c r="N72" i="3" s="1"/>
  <c r="I72" i="3"/>
  <c r="J72" i="3" s="1"/>
  <c r="P71" i="3"/>
  <c r="N71" i="3" s="1"/>
  <c r="I71" i="3"/>
  <c r="J71" i="3" s="1"/>
  <c r="S70" i="3"/>
  <c r="T70" i="3" s="1"/>
  <c r="P70" i="3"/>
  <c r="N70" i="3" s="1"/>
  <c r="I70" i="3"/>
  <c r="J70" i="3" s="1"/>
  <c r="S69" i="3"/>
  <c r="T69" i="3" s="1"/>
  <c r="P69" i="3"/>
  <c r="N69" i="3" s="1"/>
  <c r="I69" i="3"/>
  <c r="J69" i="3" s="1"/>
  <c r="P68" i="3"/>
  <c r="N68" i="3" s="1"/>
  <c r="I68" i="3"/>
  <c r="J68" i="3" s="1"/>
  <c r="P67" i="3"/>
  <c r="N67" i="3" s="1"/>
  <c r="I67" i="3"/>
  <c r="J67" i="3" s="1"/>
  <c r="P66" i="3"/>
  <c r="N66" i="3" s="1"/>
  <c r="I66" i="3"/>
  <c r="J66" i="3" s="1"/>
  <c r="S65" i="3"/>
  <c r="T65" i="3" s="1"/>
  <c r="P65" i="3"/>
  <c r="N65" i="3" s="1"/>
  <c r="I65" i="3"/>
  <c r="J65" i="3" s="1"/>
  <c r="S64" i="3"/>
  <c r="T64" i="3" s="1"/>
  <c r="P64" i="3"/>
  <c r="N64" i="3" s="1"/>
  <c r="I64" i="3"/>
  <c r="J64" i="3" s="1"/>
  <c r="P63" i="3"/>
  <c r="N63" i="3" s="1"/>
  <c r="I63" i="3"/>
  <c r="J63" i="3" s="1"/>
  <c r="M63" i="3" s="1"/>
  <c r="W63" i="3" s="1"/>
  <c r="P62" i="3"/>
  <c r="N62" i="3" s="1"/>
  <c r="I62" i="3"/>
  <c r="J62" i="3" s="1"/>
  <c r="M62" i="3" s="1"/>
  <c r="W62" i="3" s="1"/>
  <c r="P61" i="3"/>
  <c r="N61" i="3" s="1"/>
  <c r="I61" i="3"/>
  <c r="J61" i="3" s="1"/>
  <c r="M61" i="3" s="1"/>
  <c r="W61" i="3" s="1"/>
  <c r="S60" i="3"/>
  <c r="T60" i="3" s="1"/>
  <c r="P60" i="3"/>
  <c r="N60" i="3" s="1"/>
  <c r="I60" i="3"/>
  <c r="J60" i="3" s="1"/>
  <c r="M60" i="3" s="1"/>
  <c r="W60" i="3" s="1"/>
  <c r="S59" i="3"/>
  <c r="T59" i="3" s="1"/>
  <c r="P59" i="3"/>
  <c r="N59" i="3" s="1"/>
  <c r="I59" i="3"/>
  <c r="J59" i="3" s="1"/>
  <c r="M59" i="3" s="1"/>
  <c r="W59" i="3" s="1"/>
  <c r="P58" i="3"/>
  <c r="N58" i="3" s="1"/>
  <c r="I58" i="3"/>
  <c r="J58" i="3" s="1"/>
  <c r="M58" i="3" s="1"/>
  <c r="W58" i="3" s="1"/>
  <c r="P57" i="3"/>
  <c r="N57" i="3" s="1"/>
  <c r="I57" i="3"/>
  <c r="J57" i="3" s="1"/>
  <c r="M57" i="3" s="1"/>
  <c r="W57" i="3" s="1"/>
  <c r="P56" i="3"/>
  <c r="N56" i="3" s="1"/>
  <c r="I56" i="3"/>
  <c r="J56" i="3" s="1"/>
  <c r="M56" i="3" s="1"/>
  <c r="W56" i="3" s="1"/>
  <c r="S55" i="3"/>
  <c r="T55" i="3" s="1"/>
  <c r="P55" i="3"/>
  <c r="N55" i="3" s="1"/>
  <c r="I55" i="3"/>
  <c r="J55" i="3" s="1"/>
  <c r="M55" i="3" s="1"/>
  <c r="W55" i="3" s="1"/>
  <c r="S54" i="3"/>
  <c r="T54" i="3" s="1"/>
  <c r="P54" i="3"/>
  <c r="N54" i="3" s="1"/>
  <c r="I54" i="3"/>
  <c r="J54" i="3" s="1"/>
  <c r="M54" i="3" s="1"/>
  <c r="W54" i="3" s="1"/>
  <c r="P53" i="3"/>
  <c r="N53" i="3" s="1"/>
  <c r="I53" i="3"/>
  <c r="J53" i="3" s="1"/>
  <c r="M53" i="3" s="1"/>
  <c r="W53" i="3" s="1"/>
  <c r="P52" i="3"/>
  <c r="N52" i="3" s="1"/>
  <c r="I52" i="3"/>
  <c r="J52" i="3" s="1"/>
  <c r="M52" i="3" s="1"/>
  <c r="W52" i="3" s="1"/>
  <c r="P51" i="3"/>
  <c r="N51" i="3" s="1"/>
  <c r="I51" i="3"/>
  <c r="J51" i="3" s="1"/>
  <c r="M51" i="3" s="1"/>
  <c r="W51" i="3" s="1"/>
  <c r="S50" i="3"/>
  <c r="T50" i="3" s="1"/>
  <c r="P50" i="3"/>
  <c r="N50" i="3" s="1"/>
  <c r="I50" i="3"/>
  <c r="J50" i="3" s="1"/>
  <c r="M50" i="3" s="1"/>
  <c r="W50" i="3" s="1"/>
  <c r="S49" i="3"/>
  <c r="T49" i="3" s="1"/>
  <c r="P49" i="3"/>
  <c r="N49" i="3" s="1"/>
  <c r="I49" i="3"/>
  <c r="J49" i="3" s="1"/>
  <c r="M49" i="3" s="1"/>
  <c r="W49" i="3" s="1"/>
  <c r="P48" i="3"/>
  <c r="N48" i="3" s="1"/>
  <c r="I48" i="3"/>
  <c r="J48" i="3" s="1"/>
  <c r="M48" i="3" s="1"/>
  <c r="W48" i="3" s="1"/>
  <c r="P47" i="3"/>
  <c r="N47" i="3" s="1"/>
  <c r="I47" i="3"/>
  <c r="J47" i="3" s="1"/>
  <c r="M47" i="3" s="1"/>
  <c r="W47" i="3" s="1"/>
  <c r="P46" i="3"/>
  <c r="N46" i="3" s="1"/>
  <c r="I46" i="3"/>
  <c r="J46" i="3" s="1"/>
  <c r="M46" i="3" s="1"/>
  <c r="W46" i="3" s="1"/>
  <c r="S45" i="3"/>
  <c r="T45" i="3" s="1"/>
  <c r="P45" i="3"/>
  <c r="N45" i="3" s="1"/>
  <c r="I45" i="3"/>
  <c r="J45" i="3" s="1"/>
  <c r="M45" i="3" s="1"/>
  <c r="W45" i="3" s="1"/>
  <c r="S44" i="3"/>
  <c r="T44" i="3" s="1"/>
  <c r="P44" i="3"/>
  <c r="N44" i="3" s="1"/>
  <c r="I44" i="3"/>
  <c r="J44" i="3" s="1"/>
  <c r="M44" i="3" s="1"/>
  <c r="W44" i="3" s="1"/>
  <c r="P43" i="3"/>
  <c r="N43" i="3" s="1"/>
  <c r="I43" i="3"/>
  <c r="J43" i="3" s="1"/>
  <c r="M43" i="3" s="1"/>
  <c r="W43" i="3" s="1"/>
  <c r="P42" i="3"/>
  <c r="N42" i="3" s="1"/>
  <c r="I42" i="3"/>
  <c r="J42" i="3" s="1"/>
  <c r="M42" i="3" s="1"/>
  <c r="W42" i="3" s="1"/>
  <c r="P41" i="3"/>
  <c r="N41" i="3" s="1"/>
  <c r="I41" i="3"/>
  <c r="J41" i="3" s="1"/>
  <c r="M41" i="3" s="1"/>
  <c r="W41" i="3" s="1"/>
  <c r="S40" i="3"/>
  <c r="T40" i="3" s="1"/>
  <c r="P40" i="3"/>
  <c r="N40" i="3" s="1"/>
  <c r="I40" i="3"/>
  <c r="J40" i="3" s="1"/>
  <c r="M40" i="3" s="1"/>
  <c r="W40" i="3" s="1"/>
  <c r="S39" i="3"/>
  <c r="T39" i="3" s="1"/>
  <c r="P39" i="3"/>
  <c r="N39" i="3" s="1"/>
  <c r="I39" i="3"/>
  <c r="J39" i="3" s="1"/>
  <c r="M39" i="3" s="1"/>
  <c r="W39" i="3" s="1"/>
  <c r="P38" i="3"/>
  <c r="N38" i="3" s="1"/>
  <c r="I38" i="3"/>
  <c r="J38" i="3" s="1"/>
  <c r="M38" i="3" s="1"/>
  <c r="W38" i="3" s="1"/>
  <c r="P37" i="3"/>
  <c r="N37" i="3" s="1"/>
  <c r="I37" i="3"/>
  <c r="J37" i="3" s="1"/>
  <c r="M37" i="3" s="1"/>
  <c r="W37" i="3" s="1"/>
  <c r="P36" i="3"/>
  <c r="N36" i="3" s="1"/>
  <c r="I36" i="3"/>
  <c r="J36" i="3" s="1"/>
  <c r="M36" i="3" s="1"/>
  <c r="W36" i="3" s="1"/>
  <c r="P35" i="3"/>
  <c r="N35" i="3" s="1"/>
  <c r="I35" i="3"/>
  <c r="J35" i="3" s="1"/>
  <c r="M35" i="3" s="1"/>
  <c r="W35" i="3" s="1"/>
  <c r="P34" i="3"/>
  <c r="N34" i="3" s="1"/>
  <c r="I34" i="3"/>
  <c r="J34" i="3" s="1"/>
  <c r="M34" i="3" s="1"/>
  <c r="W34" i="3" s="1"/>
  <c r="P33" i="3"/>
  <c r="N33" i="3" s="1"/>
  <c r="I33" i="3"/>
  <c r="J33" i="3" s="1"/>
  <c r="M33" i="3" s="1"/>
  <c r="W33" i="3" s="1"/>
  <c r="S32" i="3"/>
  <c r="T32" i="3" s="1"/>
  <c r="P32" i="3"/>
  <c r="N32" i="3" s="1"/>
  <c r="I32" i="3"/>
  <c r="J32" i="3" s="1"/>
  <c r="M32" i="3" s="1"/>
  <c r="W32" i="3" s="1"/>
  <c r="I31" i="3"/>
  <c r="J31" i="3" s="1"/>
  <c r="M31" i="3" s="1"/>
  <c r="W31" i="3" s="1"/>
  <c r="I30" i="3"/>
  <c r="J30" i="3" s="1"/>
  <c r="M30" i="3" s="1"/>
  <c r="W30" i="3" s="1"/>
  <c r="M29" i="3"/>
  <c r="W29" i="3" s="1"/>
  <c r="P28" i="3"/>
  <c r="N28" i="3" s="1"/>
  <c r="I28" i="3"/>
  <c r="J28" i="3" s="1"/>
  <c r="M28" i="3" s="1"/>
  <c r="W28" i="3" s="1"/>
  <c r="P27" i="3"/>
  <c r="N27" i="3" s="1"/>
  <c r="I27" i="3"/>
  <c r="J27" i="3" s="1"/>
  <c r="M27" i="3" s="1"/>
  <c r="W27" i="3" s="1"/>
  <c r="P26" i="3"/>
  <c r="N26" i="3" s="1"/>
  <c r="I26" i="3"/>
  <c r="J26" i="3" s="1"/>
  <c r="M26" i="3" s="1"/>
  <c r="W26" i="3" s="1"/>
  <c r="S25" i="3"/>
  <c r="T25" i="3" s="1"/>
  <c r="P25" i="3"/>
  <c r="N25" i="3" s="1"/>
  <c r="I25" i="3"/>
  <c r="J25" i="3" s="1"/>
  <c r="M25" i="3" s="1"/>
  <c r="W25" i="3" s="1"/>
  <c r="S24" i="3"/>
  <c r="T24" i="3" s="1"/>
  <c r="P24" i="3"/>
  <c r="N24" i="3" s="1"/>
  <c r="I24" i="3"/>
  <c r="J24" i="3" s="1"/>
  <c r="M24" i="3" s="1"/>
  <c r="W24" i="3" s="1"/>
  <c r="I23" i="3"/>
  <c r="I15" i="3"/>
  <c r="P13" i="3"/>
  <c r="P12" i="3"/>
  <c r="K11" i="3"/>
  <c r="N9" i="3"/>
  <c r="H9" i="3"/>
  <c r="H8" i="3"/>
  <c r="Q13" i="3" l="1"/>
  <c r="M83" i="3"/>
  <c r="W83" i="3" s="1"/>
  <c r="M67" i="3"/>
  <c r="W67" i="3" s="1"/>
  <c r="M72" i="3" l="1"/>
  <c r="W72" i="3" s="1"/>
  <c r="M65" i="3"/>
  <c r="W65" i="3" s="1"/>
  <c r="M75" i="3"/>
  <c r="W75" i="3" s="1"/>
  <c r="M80" i="3"/>
  <c r="W80" i="3" s="1"/>
  <c r="M73" i="3"/>
  <c r="W73" i="3" s="1"/>
  <c r="M78" i="3"/>
  <c r="W78" i="3" s="1"/>
  <c r="M66" i="3"/>
  <c r="W66" i="3" s="1"/>
  <c r="M69" i="3"/>
  <c r="W69" i="3" s="1"/>
  <c r="M74" i="3"/>
  <c r="W74" i="3" s="1"/>
  <c r="M76" i="3"/>
  <c r="W76" i="3" s="1"/>
  <c r="M79" i="3"/>
  <c r="W79" i="3" s="1"/>
  <c r="M81" i="3"/>
  <c r="W81" i="3" s="1"/>
  <c r="M68" i="3"/>
  <c r="W68" i="3" s="1"/>
  <c r="M70" i="3"/>
  <c r="W70" i="3" s="1"/>
  <c r="M77" i="3"/>
  <c r="W77" i="3" s="1"/>
  <c r="M82" i="3"/>
  <c r="W82" i="3" s="1"/>
  <c r="M64" i="3"/>
  <c r="W64" i="3" s="1"/>
  <c r="M71" i="3"/>
  <c r="W71" i="3" s="1"/>
  <c r="B64" i="3" l="1"/>
  <c r="Q64" i="3" s="1"/>
  <c r="B77" i="3"/>
  <c r="B68" i="3"/>
  <c r="B79" i="3"/>
  <c r="Q79" i="3" s="1"/>
  <c r="B74" i="3"/>
  <c r="Q74" i="3" s="1"/>
  <c r="B66" i="3"/>
  <c r="B73" i="3"/>
  <c r="Q73" i="3" s="1"/>
  <c r="B75" i="3"/>
  <c r="B72" i="3"/>
  <c r="B67" i="3"/>
  <c r="Q67" i="3" s="1"/>
  <c r="B71" i="3"/>
  <c r="B82" i="3"/>
  <c r="Q82" i="3" s="1"/>
  <c r="B70" i="3"/>
  <c r="B81" i="3"/>
  <c r="B76" i="3"/>
  <c r="B69" i="3"/>
  <c r="B78" i="3"/>
  <c r="B80" i="3"/>
  <c r="B65" i="3"/>
  <c r="Q65" i="3" s="1"/>
  <c r="B24" i="3"/>
  <c r="B27" i="3"/>
  <c r="B29" i="3"/>
  <c r="R29" i="3" s="1"/>
  <c r="B33" i="3"/>
  <c r="B35" i="3"/>
  <c r="S35" i="3" s="1"/>
  <c r="T35" i="3" s="1"/>
  <c r="B37" i="3"/>
  <c r="B39" i="3"/>
  <c r="B42" i="3"/>
  <c r="B44" i="3"/>
  <c r="Q44" i="3" s="1"/>
  <c r="B47" i="3"/>
  <c r="S47" i="3" s="1"/>
  <c r="B49" i="3"/>
  <c r="Q49" i="3" s="1"/>
  <c r="B52" i="3"/>
  <c r="Q52" i="3" s="1"/>
  <c r="B54" i="3"/>
  <c r="Q54" i="3" s="1"/>
  <c r="B57" i="3"/>
  <c r="Q57" i="3" s="1"/>
  <c r="B59" i="3"/>
  <c r="Q59" i="3" s="1"/>
  <c r="B62" i="3"/>
  <c r="B25" i="3"/>
  <c r="R25" i="3" s="1"/>
  <c r="B32" i="3"/>
  <c r="R32" i="3" s="1"/>
  <c r="B45" i="3"/>
  <c r="Q45" i="3" s="1"/>
  <c r="B55" i="3"/>
  <c r="B26" i="3"/>
  <c r="B28" i="3"/>
  <c r="R28" i="3" s="1"/>
  <c r="B31" i="3"/>
  <c r="S31" i="3" s="1"/>
  <c r="T31" i="3" s="1"/>
  <c r="B34" i="3"/>
  <c r="B36" i="3"/>
  <c r="R36" i="3" s="1"/>
  <c r="B38" i="3"/>
  <c r="Q38" i="3" s="1"/>
  <c r="B41" i="3"/>
  <c r="B43" i="3"/>
  <c r="B46" i="3"/>
  <c r="B48" i="3"/>
  <c r="Q48" i="3" s="1"/>
  <c r="B51" i="3"/>
  <c r="B53" i="3"/>
  <c r="B56" i="3"/>
  <c r="B58" i="3"/>
  <c r="S58" i="3" s="1"/>
  <c r="B61" i="3"/>
  <c r="B63" i="3"/>
  <c r="Q63" i="3" s="1"/>
  <c r="B30" i="3"/>
  <c r="Q30" i="3" s="1"/>
  <c r="B40" i="3"/>
  <c r="B50" i="3"/>
  <c r="Q50" i="3" s="1"/>
  <c r="B60" i="3"/>
  <c r="B83" i="3"/>
  <c r="S72" i="3"/>
  <c r="Q29" i="3"/>
  <c r="Q68" i="3"/>
  <c r="Q75" i="3"/>
  <c r="S27" i="3"/>
  <c r="T27" i="3" s="1"/>
  <c r="Q69" i="3"/>
  <c r="S26" i="3"/>
  <c r="T26" i="3" s="1"/>
  <c r="Q35" i="3" l="1"/>
  <c r="S82" i="3"/>
  <c r="U63" i="3"/>
  <c r="U48" i="3"/>
  <c r="U38" i="3"/>
  <c r="U57" i="3"/>
  <c r="U52" i="3"/>
  <c r="U65" i="3"/>
  <c r="U73" i="3"/>
  <c r="U74" i="3"/>
  <c r="U68" i="3"/>
  <c r="Q37" i="3"/>
  <c r="U37" i="3" s="1"/>
  <c r="Q78" i="3"/>
  <c r="U78" i="3" s="1"/>
  <c r="S34" i="3"/>
  <c r="T34" i="3" s="1"/>
  <c r="Q40" i="3"/>
  <c r="U40" i="3" s="1"/>
  <c r="S42" i="3"/>
  <c r="S53" i="3"/>
  <c r="S43" i="3"/>
  <c r="Q55" i="3"/>
  <c r="U55" i="3" s="1"/>
  <c r="Q62" i="3"/>
  <c r="U62" i="3" s="1"/>
  <c r="Q60" i="3"/>
  <c r="U60" i="3" s="1"/>
  <c r="U50" i="3"/>
  <c r="U30" i="3"/>
  <c r="U45" i="3"/>
  <c r="U59" i="3"/>
  <c r="U54" i="3"/>
  <c r="U49" i="3"/>
  <c r="U44" i="3"/>
  <c r="U35" i="3"/>
  <c r="U29" i="3"/>
  <c r="U64" i="3"/>
  <c r="U69" i="3"/>
  <c r="U82" i="3"/>
  <c r="U67" i="3"/>
  <c r="U75" i="3"/>
  <c r="U79" i="3"/>
  <c r="Q56" i="3"/>
  <c r="U56" i="3" s="1"/>
  <c r="S56" i="3"/>
  <c r="Q66" i="3"/>
  <c r="U66" i="3" s="1"/>
  <c r="S66" i="3"/>
  <c r="Q51" i="3"/>
  <c r="U51" i="3" s="1"/>
  <c r="S51" i="3"/>
  <c r="Q76" i="3"/>
  <c r="U76" i="3" s="1"/>
  <c r="S76" i="3"/>
  <c r="Q33" i="3"/>
  <c r="U33" i="3" s="1"/>
  <c r="S33" i="3"/>
  <c r="T33" i="3" s="1"/>
  <c r="Q41" i="3"/>
  <c r="U41" i="3" s="1"/>
  <c r="S41" i="3"/>
  <c r="T42" i="3" s="1"/>
  <c r="Q61" i="3"/>
  <c r="U61" i="3" s="1"/>
  <c r="S61" i="3"/>
  <c r="Q71" i="3"/>
  <c r="U71" i="3" s="1"/>
  <c r="S71" i="3"/>
  <c r="Q81" i="3"/>
  <c r="U81" i="3" s="1"/>
  <c r="S81" i="3"/>
  <c r="Q46" i="3"/>
  <c r="U46" i="3" s="1"/>
  <c r="S46" i="3"/>
  <c r="R24" i="3"/>
  <c r="Q43" i="3"/>
  <c r="U43" i="3" s="1"/>
  <c r="Q27" i="3"/>
  <c r="U27" i="3" s="1"/>
  <c r="S57" i="3"/>
  <c r="R30" i="3"/>
  <c r="Q28" i="3"/>
  <c r="U28" i="3" s="1"/>
  <c r="R27" i="3"/>
  <c r="R33" i="3"/>
  <c r="S30" i="3"/>
  <c r="T30" i="3" s="1"/>
  <c r="R35" i="3"/>
  <c r="S73" i="3"/>
  <c r="R26" i="3"/>
  <c r="S78" i="3"/>
  <c r="Q25" i="3"/>
  <c r="U25" i="3" s="1"/>
  <c r="R60" i="3"/>
  <c r="R53" i="3"/>
  <c r="S63" i="3"/>
  <c r="Q24" i="3"/>
  <c r="U24" i="3" s="1"/>
  <c r="Q72" i="3"/>
  <c r="U72" i="3" s="1"/>
  <c r="R80" i="3"/>
  <c r="R71" i="3"/>
  <c r="S38" i="3"/>
  <c r="T38" i="3" s="1"/>
  <c r="R48" i="3"/>
  <c r="R37" i="3"/>
  <c r="Q36" i="3"/>
  <c r="U36" i="3" s="1"/>
  <c r="S62" i="3"/>
  <c r="R61" i="3"/>
  <c r="R44" i="3"/>
  <c r="R77" i="3"/>
  <c r="R74" i="3"/>
  <c r="Q80" i="3"/>
  <c r="U80" i="3" s="1"/>
  <c r="S37" i="3"/>
  <c r="T37" i="3" s="1"/>
  <c r="R78" i="3"/>
  <c r="R76" i="3"/>
  <c r="Q34" i="3"/>
  <c r="U34" i="3" s="1"/>
  <c r="S29" i="3"/>
  <c r="T29" i="3" s="1"/>
  <c r="R75" i="3"/>
  <c r="R65" i="3"/>
  <c r="Q53" i="3"/>
  <c r="U53" i="3" s="1"/>
  <c r="R38" i="3"/>
  <c r="R67" i="3"/>
  <c r="R79" i="3"/>
  <c r="R69" i="3"/>
  <c r="R73" i="3"/>
  <c r="Q26" i="3"/>
  <c r="U26" i="3" s="1"/>
  <c r="R66" i="3"/>
  <c r="R34" i="3"/>
  <c r="S36" i="3"/>
  <c r="T36" i="3" s="1"/>
  <c r="S68" i="3"/>
  <c r="Q32" i="3"/>
  <c r="U32" i="3" s="1"/>
  <c r="R39" i="3"/>
  <c r="R52" i="3"/>
  <c r="R70" i="3"/>
  <c r="R49" i="3"/>
  <c r="R58" i="3"/>
  <c r="R83" i="3"/>
  <c r="R47" i="3"/>
  <c r="Q70" i="3"/>
  <c r="U70" i="3" s="1"/>
  <c r="R45" i="3"/>
  <c r="R51" i="3"/>
  <c r="R63" i="3"/>
  <c r="R40" i="3"/>
  <c r="Q42" i="3"/>
  <c r="U42" i="3" s="1"/>
  <c r="S67" i="3"/>
  <c r="S48" i="3"/>
  <c r="S83" i="3"/>
  <c r="Q83" i="3"/>
  <c r="U83" i="3" s="1"/>
  <c r="S77" i="3"/>
  <c r="Q77" i="3"/>
  <c r="U77" i="3" s="1"/>
  <c r="R82" i="3"/>
  <c r="R72" i="3"/>
  <c r="R41" i="3"/>
  <c r="R62" i="3"/>
  <c r="R56" i="3"/>
  <c r="R68" i="3"/>
  <c r="R50" i="3"/>
  <c r="R57" i="3"/>
  <c r="R81" i="3"/>
  <c r="R43" i="3"/>
  <c r="R46" i="3"/>
  <c r="R55" i="3"/>
  <c r="R64" i="3"/>
  <c r="R59" i="3"/>
  <c r="S52" i="3"/>
  <c r="S28" i="3"/>
  <c r="T28" i="3" s="1"/>
  <c r="R54" i="3"/>
  <c r="Q39" i="3"/>
  <c r="U39" i="3" s="1"/>
  <c r="R42" i="3"/>
  <c r="R31" i="3"/>
  <c r="Q58" i="3"/>
  <c r="U58" i="3" s="1"/>
  <c r="Q47" i="3"/>
  <c r="U47" i="3" s="1"/>
  <c r="Q31" i="3"/>
  <c r="U31" i="3" s="1"/>
  <c r="T48" i="3" l="1"/>
  <c r="T41" i="3"/>
  <c r="T83" i="3"/>
  <c r="T73" i="3"/>
  <c r="T43" i="3"/>
  <c r="T78" i="3"/>
  <c r="T67" i="3"/>
  <c r="T66" i="3"/>
  <c r="T62" i="3"/>
  <c r="T61" i="3"/>
  <c r="T71" i="3"/>
  <c r="T52" i="3"/>
  <c r="T51" i="3"/>
  <c r="T76" i="3"/>
  <c r="T57" i="3"/>
  <c r="T56" i="3"/>
  <c r="T81" i="3"/>
  <c r="T46" i="3"/>
  <c r="T63" i="3"/>
  <c r="T47" i="3"/>
  <c r="T77" i="3"/>
  <c r="T68" i="3"/>
  <c r="T72" i="3"/>
  <c r="T82" i="3"/>
  <c r="T58" i="3"/>
  <c r="T53" i="3"/>
  <c r="C19" i="3" l="1"/>
  <c r="C17" i="3"/>
  <c r="C16" i="3"/>
  <c r="C20" i="3"/>
  <c r="C18" i="3"/>
  <c r="P72" i="2"/>
  <c r="N72" i="2" s="1"/>
  <c r="I72" i="2"/>
  <c r="J72" i="2" s="1"/>
  <c r="P71" i="2"/>
  <c r="N71" i="2" s="1"/>
  <c r="I71" i="2"/>
  <c r="J71" i="2" s="1"/>
  <c r="P70" i="2"/>
  <c r="N70" i="2" s="1"/>
  <c r="I70" i="2"/>
  <c r="J70" i="2" s="1"/>
  <c r="P69" i="2"/>
  <c r="N69" i="2" s="1"/>
  <c r="I69" i="2"/>
  <c r="J69" i="2" s="1"/>
  <c r="P68" i="2"/>
  <c r="N68" i="2" s="1"/>
  <c r="I68" i="2"/>
  <c r="J68" i="2" s="1"/>
  <c r="S67" i="2"/>
  <c r="T67" i="2" s="1"/>
  <c r="P67" i="2"/>
  <c r="N67" i="2" s="1"/>
  <c r="I67" i="2"/>
  <c r="J67" i="2" s="1"/>
  <c r="P66" i="2"/>
  <c r="N66" i="2" s="1"/>
  <c r="I66" i="2"/>
  <c r="J66" i="2" s="1"/>
  <c r="P65" i="2"/>
  <c r="N65" i="2" s="1"/>
  <c r="I65" i="2"/>
  <c r="J65" i="2" s="1"/>
  <c r="P64" i="2"/>
  <c r="N64" i="2" s="1"/>
  <c r="I64" i="2"/>
  <c r="J64" i="2" s="1"/>
  <c r="P63" i="2"/>
  <c r="N63" i="2" s="1"/>
  <c r="I63" i="2"/>
  <c r="J63" i="2" s="1"/>
  <c r="P62" i="2"/>
  <c r="N62" i="2" s="1"/>
  <c r="I62" i="2"/>
  <c r="J62" i="2" s="1"/>
  <c r="S61" i="2"/>
  <c r="T61" i="2" s="1"/>
  <c r="P61" i="2"/>
  <c r="N61" i="2" s="1"/>
  <c r="I61" i="2"/>
  <c r="J61" i="2" s="1"/>
  <c r="P60" i="2"/>
  <c r="N60" i="2" s="1"/>
  <c r="I60" i="2"/>
  <c r="J60" i="2" s="1"/>
  <c r="P59" i="2"/>
  <c r="N59" i="2" s="1"/>
  <c r="I59" i="2"/>
  <c r="J59" i="2" s="1"/>
  <c r="P58" i="2"/>
  <c r="N58" i="2" s="1"/>
  <c r="I58" i="2"/>
  <c r="J58" i="2" s="1"/>
  <c r="P57" i="2"/>
  <c r="N57" i="2" s="1"/>
  <c r="I57" i="2"/>
  <c r="J57" i="2" s="1"/>
  <c r="P56" i="2"/>
  <c r="N56" i="2" s="1"/>
  <c r="I56" i="2"/>
  <c r="J56" i="2" s="1"/>
  <c r="S55" i="2"/>
  <c r="T55" i="2" s="1"/>
  <c r="P55" i="2"/>
  <c r="N55" i="2" s="1"/>
  <c r="I55" i="2"/>
  <c r="J55" i="2" s="1"/>
  <c r="P46" i="2"/>
  <c r="P47" i="2"/>
  <c r="P48" i="2"/>
  <c r="P49" i="2"/>
  <c r="P50" i="2"/>
  <c r="P51" i="2"/>
  <c r="P52" i="2"/>
  <c r="P53" i="2"/>
  <c r="P54" i="2"/>
  <c r="P43" i="2"/>
  <c r="P44" i="2"/>
  <c r="P45" i="2"/>
  <c r="E20" i="3" l="1"/>
  <c r="G20" i="3"/>
  <c r="I20" i="3"/>
  <c r="K20" i="3"/>
  <c r="M20" i="3"/>
  <c r="D20" i="3"/>
  <c r="F20" i="3"/>
  <c r="H20" i="3"/>
  <c r="J20" i="3"/>
  <c r="L20" i="3"/>
  <c r="N20" i="3"/>
  <c r="E17" i="3"/>
  <c r="G17" i="3"/>
  <c r="I17" i="3"/>
  <c r="K17" i="3"/>
  <c r="M17" i="3"/>
  <c r="F17" i="3"/>
  <c r="H17" i="3"/>
  <c r="J17" i="3"/>
  <c r="L17" i="3"/>
  <c r="N17" i="3"/>
  <c r="D17" i="3"/>
  <c r="E18" i="3"/>
  <c r="G18" i="3"/>
  <c r="I18" i="3"/>
  <c r="K18" i="3"/>
  <c r="M18" i="3"/>
  <c r="D18" i="3"/>
  <c r="F18" i="3"/>
  <c r="H18" i="3"/>
  <c r="J18" i="3"/>
  <c r="L18" i="3"/>
  <c r="N18" i="3"/>
  <c r="E16" i="3"/>
  <c r="G16" i="3"/>
  <c r="I16" i="3"/>
  <c r="K16" i="3"/>
  <c r="M16" i="3"/>
  <c r="D16" i="3"/>
  <c r="F16" i="3"/>
  <c r="H16" i="3"/>
  <c r="J16" i="3"/>
  <c r="L16" i="3"/>
  <c r="N16" i="3"/>
  <c r="E19" i="3"/>
  <c r="G19" i="3"/>
  <c r="I19" i="3"/>
  <c r="K19" i="3"/>
  <c r="M19" i="3"/>
  <c r="F19" i="3"/>
  <c r="H19" i="3"/>
  <c r="J19" i="3"/>
  <c r="L19" i="3"/>
  <c r="N19" i="3"/>
  <c r="D19" i="3"/>
  <c r="I23" i="1"/>
  <c r="I23" i="2"/>
  <c r="N31" i="2"/>
  <c r="N35" i="2"/>
  <c r="N43" i="2"/>
  <c r="N44" i="2"/>
  <c r="N45" i="2"/>
  <c r="N47" i="2"/>
  <c r="N48" i="2"/>
  <c r="N49" i="2"/>
  <c r="N50" i="2"/>
  <c r="N51" i="2"/>
  <c r="N52" i="2"/>
  <c r="N53" i="2"/>
  <c r="N54" i="2"/>
  <c r="N36" i="1"/>
  <c r="N48" i="1"/>
  <c r="N49" i="1"/>
  <c r="N50" i="1"/>
  <c r="N51" i="1"/>
  <c r="N52" i="1"/>
  <c r="N53" i="1"/>
  <c r="N54" i="1"/>
  <c r="O20" i="3" l="1"/>
  <c r="O19" i="3"/>
  <c r="O18" i="3"/>
  <c r="O17" i="3"/>
  <c r="I54" i="2"/>
  <c r="J54" i="2" s="1"/>
  <c r="I53" i="2"/>
  <c r="J53" i="2" s="1"/>
  <c r="I52" i="2"/>
  <c r="J52" i="2" s="1"/>
  <c r="I51" i="2"/>
  <c r="J51" i="2" s="1"/>
  <c r="I50" i="2"/>
  <c r="J50" i="2" s="1"/>
  <c r="I49" i="2"/>
  <c r="J49" i="2" s="1"/>
  <c r="I48" i="2"/>
  <c r="J48" i="2" s="1"/>
  <c r="M48" i="2" s="1"/>
  <c r="W48" i="2" s="1"/>
  <c r="I47" i="2"/>
  <c r="J47" i="2" s="1"/>
  <c r="M47" i="2" s="1"/>
  <c r="W47" i="2" s="1"/>
  <c r="N46" i="2"/>
  <c r="I46" i="2"/>
  <c r="J46" i="2" s="1"/>
  <c r="M46" i="2" s="1"/>
  <c r="W46" i="2" s="1"/>
  <c r="I45" i="2"/>
  <c r="J45" i="2" s="1"/>
  <c r="M45" i="2" s="1"/>
  <c r="W45" i="2" s="1"/>
  <c r="I44" i="2"/>
  <c r="J44" i="2" s="1"/>
  <c r="M44" i="2" s="1"/>
  <c r="W44" i="2" s="1"/>
  <c r="I43" i="2"/>
  <c r="J43" i="2" s="1"/>
  <c r="M43" i="2" s="1"/>
  <c r="W43" i="2" s="1"/>
  <c r="P42" i="2"/>
  <c r="N42" i="2" s="1"/>
  <c r="I42" i="2"/>
  <c r="J42" i="2" s="1"/>
  <c r="M42" i="2" s="1"/>
  <c r="W42" i="2" s="1"/>
  <c r="P41" i="2"/>
  <c r="N41" i="2" s="1"/>
  <c r="I41" i="2"/>
  <c r="J41" i="2" s="1"/>
  <c r="M41" i="2" s="1"/>
  <c r="W41" i="2" s="1"/>
  <c r="P40" i="2"/>
  <c r="N40" i="2" s="1"/>
  <c r="I40" i="2"/>
  <c r="J40" i="2" s="1"/>
  <c r="M40" i="2" s="1"/>
  <c r="W40" i="2" s="1"/>
  <c r="P39" i="2"/>
  <c r="N39" i="2" s="1"/>
  <c r="I39" i="2"/>
  <c r="J39" i="2" s="1"/>
  <c r="M39" i="2" s="1"/>
  <c r="W39" i="2" s="1"/>
  <c r="P38" i="2"/>
  <c r="N38" i="2" s="1"/>
  <c r="I38" i="2"/>
  <c r="J38" i="2" s="1"/>
  <c r="M38" i="2" s="1"/>
  <c r="W38" i="2" s="1"/>
  <c r="P37" i="2"/>
  <c r="N37" i="2" s="1"/>
  <c r="I37" i="2"/>
  <c r="J37" i="2" s="1"/>
  <c r="M37" i="2" s="1"/>
  <c r="W37" i="2" s="1"/>
  <c r="P36" i="2"/>
  <c r="N36" i="2" s="1"/>
  <c r="I36" i="2"/>
  <c r="J36" i="2" s="1"/>
  <c r="M36" i="2" s="1"/>
  <c r="W36" i="2" s="1"/>
  <c r="I35" i="2"/>
  <c r="J35" i="2" s="1"/>
  <c r="M35" i="2" s="1"/>
  <c r="W35" i="2" s="1"/>
  <c r="P34" i="2"/>
  <c r="N34" i="2" s="1"/>
  <c r="I34" i="2"/>
  <c r="J34" i="2" s="1"/>
  <c r="M34" i="2" s="1"/>
  <c r="W34" i="2" s="1"/>
  <c r="P33" i="2"/>
  <c r="N33" i="2" s="1"/>
  <c r="I33" i="2"/>
  <c r="J33" i="2" s="1"/>
  <c r="M33" i="2" s="1"/>
  <c r="W33" i="2" s="1"/>
  <c r="P32" i="2"/>
  <c r="N32" i="2" s="1"/>
  <c r="I32" i="2"/>
  <c r="J32" i="2" s="1"/>
  <c r="M32" i="2" s="1"/>
  <c r="W32" i="2" s="1"/>
  <c r="L31" i="2"/>
  <c r="I31" i="2"/>
  <c r="J31" i="2" s="1"/>
  <c r="P30" i="2"/>
  <c r="N30" i="2" s="1"/>
  <c r="L30" i="2"/>
  <c r="I30" i="2"/>
  <c r="J30" i="2" s="1"/>
  <c r="P29" i="2"/>
  <c r="N29" i="2" s="1"/>
  <c r="I29" i="2"/>
  <c r="J29" i="2" s="1"/>
  <c r="M29" i="2" s="1"/>
  <c r="W29" i="2" s="1"/>
  <c r="P28" i="2"/>
  <c r="N28" i="2" s="1"/>
  <c r="I28" i="2"/>
  <c r="J28" i="2" s="1"/>
  <c r="M28" i="2" s="1"/>
  <c r="W28" i="2" s="1"/>
  <c r="P27" i="2"/>
  <c r="N27" i="2" s="1"/>
  <c r="I27" i="2"/>
  <c r="J27" i="2" s="1"/>
  <c r="M27" i="2" s="1"/>
  <c r="W27" i="2" s="1"/>
  <c r="P26" i="2"/>
  <c r="N26" i="2" s="1"/>
  <c r="I26" i="2"/>
  <c r="J26" i="2" s="1"/>
  <c r="M26" i="2" s="1"/>
  <c r="W26" i="2" s="1"/>
  <c r="P25" i="2"/>
  <c r="N25" i="2" s="1"/>
  <c r="I25" i="2"/>
  <c r="J25" i="2" s="1"/>
  <c r="M25" i="2" s="1"/>
  <c r="W25" i="2" s="1"/>
  <c r="P24" i="2"/>
  <c r="N24" i="2" s="1"/>
  <c r="I24" i="2"/>
  <c r="J24" i="2" s="1"/>
  <c r="M24" i="2" s="1"/>
  <c r="W24" i="2" s="1"/>
  <c r="I15" i="2"/>
  <c r="P13" i="2"/>
  <c r="P12" i="2"/>
  <c r="K11" i="2"/>
  <c r="I9" i="2"/>
  <c r="H9" i="2"/>
  <c r="I8" i="2"/>
  <c r="H8" i="2"/>
  <c r="M30" i="2" l="1"/>
  <c r="W30" i="2" s="1"/>
  <c r="M31" i="2"/>
  <c r="W31" i="2" s="1"/>
  <c r="M73" i="2"/>
  <c r="W73" i="2" s="1"/>
  <c r="M74" i="2"/>
  <c r="W74" i="2" s="1"/>
  <c r="Q13" i="2"/>
  <c r="J54" i="1"/>
  <c r="M54" i="1" s="1"/>
  <c r="W54" i="1" s="1"/>
  <c r="J55" i="1"/>
  <c r="M55" i="1" s="1"/>
  <c r="W55" i="1" s="1"/>
  <c r="M51" i="2" l="1"/>
  <c r="W51" i="2" s="1"/>
  <c r="M53" i="2"/>
  <c r="W53" i="2" s="1"/>
  <c r="M55" i="2"/>
  <c r="W55" i="2" s="1"/>
  <c r="M57" i="2"/>
  <c r="W57" i="2" s="1"/>
  <c r="M59" i="2"/>
  <c r="W59" i="2" s="1"/>
  <c r="M61" i="2"/>
  <c r="W61" i="2" s="1"/>
  <c r="M63" i="2"/>
  <c r="W63" i="2" s="1"/>
  <c r="M65" i="2"/>
  <c r="W65" i="2" s="1"/>
  <c r="M67" i="2"/>
  <c r="W67" i="2" s="1"/>
  <c r="M69" i="2"/>
  <c r="W69" i="2" s="1"/>
  <c r="M71" i="2"/>
  <c r="W71" i="2" s="1"/>
  <c r="M49" i="2"/>
  <c r="W49" i="2" s="1"/>
  <c r="M50" i="2"/>
  <c r="W50" i="2" s="1"/>
  <c r="M52" i="2"/>
  <c r="W52" i="2" s="1"/>
  <c r="M54" i="2"/>
  <c r="W54" i="2" s="1"/>
  <c r="M56" i="2"/>
  <c r="W56" i="2" s="1"/>
  <c r="M58" i="2"/>
  <c r="W58" i="2" s="1"/>
  <c r="M60" i="2"/>
  <c r="W60" i="2" s="1"/>
  <c r="M62" i="2"/>
  <c r="W62" i="2" s="1"/>
  <c r="M64" i="2"/>
  <c r="W64" i="2" s="1"/>
  <c r="M66" i="2"/>
  <c r="W66" i="2" s="1"/>
  <c r="M68" i="2"/>
  <c r="W68" i="2" s="1"/>
  <c r="M70" i="2"/>
  <c r="W70" i="2" s="1"/>
  <c r="M72" i="2"/>
  <c r="W72" i="2" s="1"/>
  <c r="I9" i="1"/>
  <c r="K53" i="1" s="1"/>
  <c r="I8" i="1"/>
  <c r="B27" i="2" l="1"/>
  <c r="B40" i="2"/>
  <c r="B72" i="2"/>
  <c r="S72" i="2" s="1"/>
  <c r="B65" i="2"/>
  <c r="B24" i="2"/>
  <c r="B68" i="2"/>
  <c r="B64" i="2"/>
  <c r="Q64" i="2" s="1"/>
  <c r="B60" i="2"/>
  <c r="Q60" i="2" s="1"/>
  <c r="B56" i="2"/>
  <c r="Q56" i="2" s="1"/>
  <c r="B52" i="2"/>
  <c r="Q52" i="2" s="1"/>
  <c r="B49" i="2"/>
  <c r="B69" i="2"/>
  <c r="Q69" i="2" s="1"/>
  <c r="B61" i="2"/>
  <c r="Q61" i="2" s="1"/>
  <c r="B57" i="2"/>
  <c r="B53" i="2"/>
  <c r="S53" i="2" s="1"/>
  <c r="B33" i="2"/>
  <c r="B46" i="2"/>
  <c r="B28" i="2"/>
  <c r="B38" i="2"/>
  <c r="Q38" i="2" s="1"/>
  <c r="B43" i="2"/>
  <c r="S43" i="2" s="1"/>
  <c r="T43" i="2" s="1"/>
  <c r="B31" i="2"/>
  <c r="R31" i="2" s="1"/>
  <c r="B32" i="2"/>
  <c r="R32" i="2" s="1"/>
  <c r="B44" i="2"/>
  <c r="R44" i="2" s="1"/>
  <c r="B26" i="2"/>
  <c r="R26" i="2" s="1"/>
  <c r="B37" i="2"/>
  <c r="B42" i="2"/>
  <c r="S42" i="2" s="1"/>
  <c r="T42" i="2" s="1"/>
  <c r="B30" i="2"/>
  <c r="Q30" i="2" s="1"/>
  <c r="B70" i="2"/>
  <c r="B66" i="2"/>
  <c r="B62" i="2"/>
  <c r="B58" i="2"/>
  <c r="B54" i="2"/>
  <c r="S54" i="2" s="1"/>
  <c r="B50" i="2"/>
  <c r="B71" i="2"/>
  <c r="Q71" i="2" s="1"/>
  <c r="B67" i="2"/>
  <c r="B63" i="2"/>
  <c r="B59" i="2"/>
  <c r="B55" i="2"/>
  <c r="B51" i="2"/>
  <c r="B35" i="2"/>
  <c r="S35" i="2" s="1"/>
  <c r="T35" i="2" s="1"/>
  <c r="B25" i="2"/>
  <c r="Q25" i="2" s="1"/>
  <c r="B36" i="2"/>
  <c r="B41" i="2"/>
  <c r="B48" i="2"/>
  <c r="B74" i="2"/>
  <c r="B34" i="2"/>
  <c r="B47" i="2"/>
  <c r="B29" i="2"/>
  <c r="R29" i="2" s="1"/>
  <c r="B39" i="2"/>
  <c r="Q39" i="2" s="1"/>
  <c r="B45" i="2"/>
  <c r="S45" i="2" s="1"/>
  <c r="T45" i="2" s="1"/>
  <c r="B73" i="2"/>
  <c r="S70" i="2"/>
  <c r="S51" i="2"/>
  <c r="K51" i="1"/>
  <c r="K44" i="1"/>
  <c r="K46" i="1"/>
  <c r="K52" i="1"/>
  <c r="K43" i="1"/>
  <c r="K45" i="1"/>
  <c r="K42" i="1"/>
  <c r="S49" i="2"/>
  <c r="T49" i="2" s="1"/>
  <c r="R24" i="2" l="1"/>
  <c r="Q70" i="2"/>
  <c r="S31" i="2"/>
  <c r="T31" i="2" s="1"/>
  <c r="S32" i="2"/>
  <c r="T32" i="2" s="1"/>
  <c r="S30" i="2"/>
  <c r="T30" i="2" s="1"/>
  <c r="S57" i="2"/>
  <c r="Q41" i="2"/>
  <c r="S37" i="2"/>
  <c r="T37" i="2" s="1"/>
  <c r="R28" i="2"/>
  <c r="R46" i="2"/>
  <c r="R33" i="2"/>
  <c r="S36" i="2"/>
  <c r="T36" i="2" s="1"/>
  <c r="R27" i="2"/>
  <c r="S68" i="2"/>
  <c r="Q51" i="2"/>
  <c r="Q59" i="2"/>
  <c r="Q58" i="2"/>
  <c r="S50" i="2"/>
  <c r="S40" i="2"/>
  <c r="T40" i="2" s="1"/>
  <c r="R48" i="2"/>
  <c r="S34" i="2"/>
  <c r="T34" i="2" s="1"/>
  <c r="S47" i="2"/>
  <c r="T47" i="2" s="1"/>
  <c r="Q40" i="2"/>
  <c r="Q68" i="2"/>
  <c r="Q65" i="2"/>
  <c r="S69" i="2"/>
  <c r="S24" i="2"/>
  <c r="T24" i="2" s="1"/>
  <c r="S25" i="2"/>
  <c r="T25" i="2" s="1"/>
  <c r="S56" i="2"/>
  <c r="Q72" i="2"/>
  <c r="S63" i="2"/>
  <c r="S62" i="2"/>
  <c r="S74" i="2"/>
  <c r="T74" i="2" s="1"/>
  <c r="R74" i="2"/>
  <c r="Q74" i="2"/>
  <c r="R73" i="2"/>
  <c r="Q73" i="2"/>
  <c r="S73" i="2"/>
  <c r="T73" i="2" s="1"/>
  <c r="S33" i="2"/>
  <c r="T33" i="2" s="1"/>
  <c r="S41" i="2"/>
  <c r="T41" i="2" s="1"/>
  <c r="Q57" i="2"/>
  <c r="Q67" i="2"/>
  <c r="Q43" i="2"/>
  <c r="R40" i="2"/>
  <c r="R25" i="2"/>
  <c r="Q46" i="2"/>
  <c r="R38" i="2"/>
  <c r="R37" i="2"/>
  <c r="R36" i="2"/>
  <c r="S71" i="2"/>
  <c r="T71" i="2" s="1"/>
  <c r="Q26" i="2"/>
  <c r="Q34" i="2"/>
  <c r="R39" i="2"/>
  <c r="R42" i="2"/>
  <c r="S52" i="2"/>
  <c r="S65" i="2"/>
  <c r="R56" i="2"/>
  <c r="Q35" i="2"/>
  <c r="Q47" i="2"/>
  <c r="R34" i="2"/>
  <c r="Q45" i="2"/>
  <c r="S39" i="2"/>
  <c r="T39" i="2" s="1"/>
  <c r="Q42" i="2"/>
  <c r="Q48" i="2"/>
  <c r="Q54" i="2"/>
  <c r="S60" i="2"/>
  <c r="S64" i="2"/>
  <c r="S59" i="2"/>
  <c r="R58" i="2"/>
  <c r="R64" i="2"/>
  <c r="R68" i="2"/>
  <c r="R59" i="2"/>
  <c r="S27" i="2"/>
  <c r="T27" i="2" s="1"/>
  <c r="Q24" i="2"/>
  <c r="S38" i="2"/>
  <c r="T38" i="2" s="1"/>
  <c r="U38" i="2" s="1"/>
  <c r="R41" i="2"/>
  <c r="S28" i="2"/>
  <c r="T28" i="2" s="1"/>
  <c r="Q32" i="2"/>
  <c r="U32" i="2" s="1"/>
  <c r="Q44" i="2"/>
  <c r="Q62" i="2"/>
  <c r="S58" i="2"/>
  <c r="Q31" i="2"/>
  <c r="R35" i="2"/>
  <c r="S26" i="2"/>
  <c r="T26" i="2" s="1"/>
  <c r="R47" i="2"/>
  <c r="R43" i="2"/>
  <c r="R45" i="2"/>
  <c r="S48" i="2"/>
  <c r="T48" i="2" s="1"/>
  <c r="Q53" i="2"/>
  <c r="R52" i="2"/>
  <c r="R65" i="2"/>
  <c r="R67" i="2"/>
  <c r="R71" i="2"/>
  <c r="R55" i="2"/>
  <c r="R54" i="2"/>
  <c r="R66" i="2"/>
  <c r="R63" i="2"/>
  <c r="Q50" i="2"/>
  <c r="S46" i="2"/>
  <c r="T46" i="2" s="1"/>
  <c r="R30" i="2"/>
  <c r="S29" i="2"/>
  <c r="T29" i="2" s="1"/>
  <c r="Q28" i="2"/>
  <c r="Q37" i="2"/>
  <c r="Q36" i="2"/>
  <c r="S44" i="2"/>
  <c r="T44" i="2" s="1"/>
  <c r="Q63" i="2"/>
  <c r="S66" i="2"/>
  <c r="Q55" i="2"/>
  <c r="U55" i="2" s="1"/>
  <c r="R60" i="2"/>
  <c r="R70" i="2"/>
  <c r="R57" i="2"/>
  <c r="R61" i="2"/>
  <c r="U61" i="2" s="1"/>
  <c r="R50" i="2"/>
  <c r="R72" i="2"/>
  <c r="R69" i="2"/>
  <c r="Q27" i="2"/>
  <c r="Q49" i="2"/>
  <c r="Q29" i="2"/>
  <c r="Q33" i="2"/>
  <c r="U33" i="2" s="1"/>
  <c r="Q66" i="2"/>
  <c r="R62" i="2"/>
  <c r="R53" i="2"/>
  <c r="R49" i="2"/>
  <c r="R51" i="2"/>
  <c r="I15" i="1"/>
  <c r="U42" i="2" l="1"/>
  <c r="U45" i="2"/>
  <c r="U43" i="2"/>
  <c r="U74" i="2"/>
  <c r="U30" i="2"/>
  <c r="U49" i="2"/>
  <c r="U36" i="2"/>
  <c r="U39" i="2"/>
  <c r="U35" i="2"/>
  <c r="U71" i="2"/>
  <c r="U67" i="2"/>
  <c r="U37" i="2"/>
  <c r="U47" i="2"/>
  <c r="U73" i="2"/>
  <c r="U26" i="2"/>
  <c r="U41" i="2"/>
  <c r="U44" i="2"/>
  <c r="U29" i="2"/>
  <c r="U27" i="2"/>
  <c r="U28" i="2"/>
  <c r="U31" i="2"/>
  <c r="U24" i="2"/>
  <c r="U48" i="2"/>
  <c r="U34" i="2"/>
  <c r="U46" i="2"/>
  <c r="U25" i="2"/>
  <c r="U56" i="2"/>
  <c r="U40" i="2"/>
  <c r="T59" i="2"/>
  <c r="U59" i="2" s="1"/>
  <c r="T65" i="2"/>
  <c r="U65" i="2" s="1"/>
  <c r="T50" i="2"/>
  <c r="U50" i="2" s="1"/>
  <c r="T60" i="2"/>
  <c r="U60" i="2" s="1"/>
  <c r="T62" i="2"/>
  <c r="U62" i="2" s="1"/>
  <c r="T69" i="2"/>
  <c r="U69" i="2" s="1"/>
  <c r="T68" i="2"/>
  <c r="U68" i="2" s="1"/>
  <c r="T57" i="2"/>
  <c r="U57" i="2" s="1"/>
  <c r="T70" i="2"/>
  <c r="U70" i="2" s="1"/>
  <c r="T72" i="2"/>
  <c r="U72" i="2" s="1"/>
  <c r="T66" i="2"/>
  <c r="U66" i="2" s="1"/>
  <c r="T58" i="2"/>
  <c r="U58" i="2" s="1"/>
  <c r="T64" i="2"/>
  <c r="U64" i="2" s="1"/>
  <c r="T52" i="2"/>
  <c r="U52" i="2" s="1"/>
  <c r="T63" i="2"/>
  <c r="U63" i="2" s="1"/>
  <c r="T56" i="2"/>
  <c r="T51" i="2"/>
  <c r="U51" i="2" s="1"/>
  <c r="T54" i="2"/>
  <c r="U54" i="2" s="1"/>
  <c r="T53" i="2"/>
  <c r="U53" i="2" s="1"/>
  <c r="C20" i="2" l="1"/>
  <c r="C18" i="2"/>
  <c r="C16" i="2"/>
  <c r="C19" i="2"/>
  <c r="C17" i="2"/>
  <c r="K32" i="1"/>
  <c r="K33" i="1"/>
  <c r="K34" i="1"/>
  <c r="K36" i="1"/>
  <c r="I25" i="1"/>
  <c r="J25" i="1" s="1"/>
  <c r="M25" i="1" s="1"/>
  <c r="W25" i="1" s="1"/>
  <c r="I26" i="1"/>
  <c r="J26" i="1" s="1"/>
  <c r="M26" i="1" s="1"/>
  <c r="W26" i="1" s="1"/>
  <c r="I27" i="1"/>
  <c r="J27" i="1" s="1"/>
  <c r="M27" i="1" s="1"/>
  <c r="W27" i="1" s="1"/>
  <c r="I28" i="1"/>
  <c r="J28" i="1" s="1"/>
  <c r="M28" i="1" s="1"/>
  <c r="W28" i="1" s="1"/>
  <c r="I29" i="1"/>
  <c r="J29" i="1" s="1"/>
  <c r="M29" i="1" s="1"/>
  <c r="W29" i="1" s="1"/>
  <c r="I30" i="1"/>
  <c r="J30" i="1" s="1"/>
  <c r="I31" i="1"/>
  <c r="J31" i="1" s="1"/>
  <c r="I32" i="1"/>
  <c r="J32" i="1" s="1"/>
  <c r="I33" i="1"/>
  <c r="J33" i="1" s="1"/>
  <c r="I34" i="1"/>
  <c r="J34" i="1" s="1"/>
  <c r="I36" i="1"/>
  <c r="J36" i="1" s="1"/>
  <c r="I37" i="1"/>
  <c r="J37" i="1" s="1"/>
  <c r="M37" i="1" s="1"/>
  <c r="W37" i="1" s="1"/>
  <c r="I38" i="1"/>
  <c r="J38" i="1" s="1"/>
  <c r="M38" i="1" s="1"/>
  <c r="W38" i="1" s="1"/>
  <c r="I39" i="1"/>
  <c r="J39" i="1" s="1"/>
  <c r="M39" i="1" s="1"/>
  <c r="W39" i="1" s="1"/>
  <c r="I40" i="1"/>
  <c r="J40" i="1" s="1"/>
  <c r="M40" i="1" s="1"/>
  <c r="W40" i="1" s="1"/>
  <c r="I41" i="1"/>
  <c r="J41" i="1" s="1"/>
  <c r="M41" i="1" s="1"/>
  <c r="W41" i="1" s="1"/>
  <c r="I42" i="1"/>
  <c r="J42" i="1" s="1"/>
  <c r="M42" i="1" s="1"/>
  <c r="W42" i="1" s="1"/>
  <c r="I43" i="1"/>
  <c r="J43" i="1" s="1"/>
  <c r="M43" i="1" s="1"/>
  <c r="W43" i="1" s="1"/>
  <c r="I44" i="1"/>
  <c r="J44" i="1" s="1"/>
  <c r="M44" i="1" s="1"/>
  <c r="W44" i="1" s="1"/>
  <c r="I45" i="1"/>
  <c r="J45" i="1" s="1"/>
  <c r="M45" i="1" s="1"/>
  <c r="W45" i="1" s="1"/>
  <c r="I46" i="1"/>
  <c r="J46" i="1" s="1"/>
  <c r="M46" i="1" s="1"/>
  <c r="W46" i="1" s="1"/>
  <c r="I47" i="1"/>
  <c r="J47" i="1" s="1"/>
  <c r="M47" i="1" s="1"/>
  <c r="W47" i="1" s="1"/>
  <c r="I48" i="1"/>
  <c r="J48" i="1" s="1"/>
  <c r="M48" i="1" s="1"/>
  <c r="I49" i="1"/>
  <c r="J49" i="1" s="1"/>
  <c r="M49" i="1" s="1"/>
  <c r="I50" i="1"/>
  <c r="J50" i="1" s="1"/>
  <c r="M50" i="1" s="1"/>
  <c r="I51" i="1"/>
  <c r="J51" i="1" s="1"/>
  <c r="M51" i="1" s="1"/>
  <c r="I52" i="1"/>
  <c r="J52" i="1" s="1"/>
  <c r="M52" i="1" s="1"/>
  <c r="I53" i="1"/>
  <c r="J53" i="1" s="1"/>
  <c r="M53" i="1" s="1"/>
  <c r="L31" i="1"/>
  <c r="L30" i="1"/>
  <c r="I24" i="1"/>
  <c r="E18" i="2" l="1"/>
  <c r="G18" i="2"/>
  <c r="I18" i="2"/>
  <c r="K18" i="2"/>
  <c r="M18" i="2"/>
  <c r="D18" i="2"/>
  <c r="F18" i="2"/>
  <c r="H18" i="2"/>
  <c r="J18" i="2"/>
  <c r="L18" i="2"/>
  <c r="N18" i="2"/>
  <c r="E17" i="2"/>
  <c r="G17" i="2"/>
  <c r="I17" i="2"/>
  <c r="K17" i="2"/>
  <c r="M17" i="2"/>
  <c r="F17" i="2"/>
  <c r="H17" i="2"/>
  <c r="J17" i="2"/>
  <c r="L17" i="2"/>
  <c r="N17" i="2"/>
  <c r="D17" i="2"/>
  <c r="E16" i="2"/>
  <c r="G16" i="2"/>
  <c r="I16" i="2"/>
  <c r="K16" i="2"/>
  <c r="M16" i="2"/>
  <c r="D16" i="2"/>
  <c r="F16" i="2"/>
  <c r="H16" i="2"/>
  <c r="J16" i="2"/>
  <c r="L16" i="2"/>
  <c r="N16" i="2"/>
  <c r="E20" i="2"/>
  <c r="G20" i="2"/>
  <c r="I20" i="2"/>
  <c r="K20" i="2"/>
  <c r="M20" i="2"/>
  <c r="D20" i="2"/>
  <c r="F20" i="2"/>
  <c r="H20" i="2"/>
  <c r="J20" i="2"/>
  <c r="L20" i="2"/>
  <c r="N20" i="2"/>
  <c r="E19" i="2"/>
  <c r="G19" i="2"/>
  <c r="I19" i="2"/>
  <c r="K19" i="2"/>
  <c r="M19" i="2"/>
  <c r="F19" i="2"/>
  <c r="H19" i="2"/>
  <c r="J19" i="2"/>
  <c r="L19" i="2"/>
  <c r="N19" i="2"/>
  <c r="D19" i="2"/>
  <c r="M33" i="1"/>
  <c r="W33" i="1" s="1"/>
  <c r="M31" i="1"/>
  <c r="W31" i="1" s="1"/>
  <c r="M34" i="1"/>
  <c r="W34" i="1" s="1"/>
  <c r="M32" i="1"/>
  <c r="W32" i="1" s="1"/>
  <c r="M30" i="1"/>
  <c r="W30" i="1" s="1"/>
  <c r="H9" i="1"/>
  <c r="H8" i="1"/>
  <c r="O20" i="2" l="1"/>
  <c r="O19" i="2"/>
  <c r="O17" i="2"/>
  <c r="O18" i="2"/>
  <c r="K11" i="1"/>
  <c r="P13" i="1" l="1"/>
  <c r="P12" i="1"/>
  <c r="Q13" i="1" l="1"/>
  <c r="Q10" i="1" l="1"/>
  <c r="L36" i="1"/>
  <c r="M36" i="1" s="1"/>
  <c r="W36" i="1" s="1"/>
  <c r="P28" i="1"/>
  <c r="N28" i="1" s="1"/>
  <c r="P9" i="1"/>
  <c r="P8" i="1"/>
  <c r="P7" i="1"/>
  <c r="P6" i="1"/>
  <c r="P5" i="1"/>
  <c r="P45" i="1"/>
  <c r="N45" i="1" s="1"/>
  <c r="P46" i="1"/>
  <c r="N46" i="1" s="1"/>
  <c r="P47" i="1"/>
  <c r="N47" i="1" s="1"/>
  <c r="P41" i="1"/>
  <c r="N41" i="1" s="1"/>
  <c r="P42" i="1"/>
  <c r="N42" i="1" s="1"/>
  <c r="P43" i="1"/>
  <c r="N43" i="1" s="1"/>
  <c r="P44" i="1"/>
  <c r="N44" i="1" s="1"/>
  <c r="P40" i="1"/>
  <c r="N40" i="1" s="1"/>
  <c r="J24" i="1"/>
  <c r="M24" i="1" s="1"/>
  <c r="W24" i="1" s="1"/>
  <c r="P39" i="1"/>
  <c r="N39" i="1" s="1"/>
  <c r="P38" i="1"/>
  <c r="N38" i="1" s="1"/>
  <c r="P37" i="1"/>
  <c r="N37" i="1" s="1"/>
  <c r="P34" i="1"/>
  <c r="N34" i="1" s="1"/>
  <c r="P33" i="1"/>
  <c r="N33" i="1" s="1"/>
  <c r="P32" i="1"/>
  <c r="N32" i="1" s="1"/>
  <c r="P31" i="1"/>
  <c r="N31" i="1" s="1"/>
  <c r="P30" i="1"/>
  <c r="N30" i="1" s="1"/>
  <c r="P29" i="1"/>
  <c r="N29" i="1" s="1"/>
  <c r="P27" i="1"/>
  <c r="N27" i="1" s="1"/>
  <c r="P26" i="1"/>
  <c r="N26" i="1" s="1"/>
  <c r="P25" i="1"/>
  <c r="N25" i="1" s="1"/>
  <c r="P24" i="1"/>
  <c r="N24" i="1" s="1"/>
  <c r="B36" i="1" l="1"/>
  <c r="B24" i="1"/>
  <c r="B35" i="1"/>
  <c r="B87" i="1"/>
  <c r="B77" i="1"/>
  <c r="B73" i="1"/>
  <c r="B69" i="1"/>
  <c r="B65" i="1"/>
  <c r="B61" i="1"/>
  <c r="B57" i="1"/>
  <c r="B86" i="1"/>
  <c r="B76" i="1"/>
  <c r="B72" i="1"/>
  <c r="B68" i="1"/>
  <c r="B64" i="1"/>
  <c r="B60" i="1"/>
  <c r="B56" i="1"/>
  <c r="B85" i="1"/>
  <c r="B75" i="1"/>
  <c r="B71" i="1"/>
  <c r="B67" i="1"/>
  <c r="B63" i="1"/>
  <c r="B59" i="1"/>
  <c r="B88" i="1"/>
  <c r="B84" i="1"/>
  <c r="B74" i="1"/>
  <c r="B70" i="1"/>
  <c r="B66" i="1"/>
  <c r="B62" i="1"/>
  <c r="B58" i="1"/>
  <c r="B80" i="1"/>
  <c r="B83" i="1"/>
  <c r="B82" i="1"/>
  <c r="B79" i="1"/>
  <c r="B78" i="1"/>
  <c r="B81" i="1"/>
  <c r="B54" i="1"/>
  <c r="B55" i="1"/>
  <c r="B46" i="1"/>
  <c r="B42" i="1"/>
  <c r="B38" i="1"/>
  <c r="B27" i="1"/>
  <c r="B47" i="1"/>
  <c r="B43" i="1"/>
  <c r="B39" i="1"/>
  <c r="B28" i="1"/>
  <c r="B44" i="1"/>
  <c r="B40" i="1"/>
  <c r="B29" i="1"/>
  <c r="B25" i="1"/>
  <c r="B45" i="1"/>
  <c r="B41" i="1"/>
  <c r="B37" i="1"/>
  <c r="B26" i="1"/>
  <c r="B32" i="1"/>
  <c r="B30" i="1"/>
  <c r="B33" i="1"/>
  <c r="B31" i="1"/>
  <c r="B34" i="1"/>
  <c r="P10" i="1"/>
  <c r="Q35" i="1" l="1"/>
  <c r="S35" i="1"/>
  <c r="T35" i="1" s="1"/>
  <c r="R35" i="1"/>
  <c r="S72" i="1"/>
  <c r="S60" i="1"/>
  <c r="S78" i="1"/>
  <c r="S66" i="1"/>
  <c r="S54" i="1"/>
  <c r="R44" i="1"/>
  <c r="R38" i="1"/>
  <c r="R50" i="1"/>
  <c r="R46" i="1"/>
  <c r="R49" i="1"/>
  <c r="U35" i="1" l="1"/>
  <c r="R74" i="1"/>
  <c r="R54" i="1"/>
  <c r="R62" i="1"/>
  <c r="R70" i="1"/>
  <c r="R78" i="1"/>
  <c r="R58" i="1"/>
  <c r="R66" i="1"/>
  <c r="R82" i="1"/>
  <c r="S55" i="1"/>
  <c r="R55" i="1"/>
  <c r="R63" i="1"/>
  <c r="R71" i="1"/>
  <c r="S79" i="1"/>
  <c r="R79" i="1"/>
  <c r="R60" i="1"/>
  <c r="R68" i="1"/>
  <c r="R76" i="1"/>
  <c r="R57" i="1"/>
  <c r="R65" i="1"/>
  <c r="S73" i="1"/>
  <c r="R73" i="1"/>
  <c r="R81" i="1"/>
  <c r="R59" i="1"/>
  <c r="S67" i="1"/>
  <c r="R67" i="1"/>
  <c r="R75" i="1"/>
  <c r="R83" i="1"/>
  <c r="R56" i="1"/>
  <c r="R64" i="1"/>
  <c r="R72" i="1"/>
  <c r="R80" i="1"/>
  <c r="S61" i="1"/>
  <c r="R61" i="1"/>
  <c r="R69" i="1"/>
  <c r="R77" i="1"/>
  <c r="R41" i="1"/>
  <c r="R43" i="1"/>
  <c r="R51" i="1"/>
  <c r="R48" i="1"/>
  <c r="R45" i="1"/>
  <c r="Q53" i="1"/>
  <c r="Q58" i="1"/>
  <c r="S58" i="1"/>
  <c r="Q66" i="1"/>
  <c r="U66" i="1" s="1"/>
  <c r="Q74" i="1"/>
  <c r="S74" i="1"/>
  <c r="Q82" i="1"/>
  <c r="S82" i="1"/>
  <c r="Q55" i="1"/>
  <c r="U55" i="1" s="1"/>
  <c r="Q63" i="1"/>
  <c r="S63" i="1"/>
  <c r="Q71" i="1"/>
  <c r="S71" i="1"/>
  <c r="Q79" i="1"/>
  <c r="Q87" i="1"/>
  <c r="S87" i="1"/>
  <c r="T87" i="1" s="1"/>
  <c r="R87" i="1"/>
  <c r="Q60" i="1"/>
  <c r="U60" i="1" s="1"/>
  <c r="Q68" i="1"/>
  <c r="S68" i="1"/>
  <c r="Q76" i="1"/>
  <c r="S76" i="1"/>
  <c r="Q84" i="1"/>
  <c r="R84" i="1"/>
  <c r="S84" i="1"/>
  <c r="T84" i="1" s="1"/>
  <c r="Q57" i="1"/>
  <c r="S57" i="1"/>
  <c r="Q65" i="1"/>
  <c r="S65" i="1"/>
  <c r="Q73" i="1"/>
  <c r="U73" i="1" s="1"/>
  <c r="Q81" i="1"/>
  <c r="S81" i="1"/>
  <c r="R40" i="1"/>
  <c r="R42" i="1"/>
  <c r="R39" i="1"/>
  <c r="S32" i="1"/>
  <c r="T32" i="1" s="1"/>
  <c r="R47" i="1"/>
  <c r="Q52" i="1"/>
  <c r="Q54" i="1"/>
  <c r="U54" i="1" s="1"/>
  <c r="Q62" i="1"/>
  <c r="S62" i="1"/>
  <c r="Q70" i="1"/>
  <c r="S70" i="1"/>
  <c r="Q78" i="1"/>
  <c r="U78" i="1" s="1"/>
  <c r="Q86" i="1"/>
  <c r="R86" i="1"/>
  <c r="S86" i="1"/>
  <c r="T86" i="1" s="1"/>
  <c r="Q59" i="1"/>
  <c r="S59" i="1"/>
  <c r="Q67" i="1"/>
  <c r="U67" i="1" s="1"/>
  <c r="Q75" i="1"/>
  <c r="S75" i="1"/>
  <c r="Q83" i="1"/>
  <c r="S83" i="1"/>
  <c r="Q56" i="1"/>
  <c r="S56" i="1"/>
  <c r="Q64" i="1"/>
  <c r="S64" i="1"/>
  <c r="Q72" i="1"/>
  <c r="U72" i="1" s="1"/>
  <c r="Q80" i="1"/>
  <c r="S80" i="1"/>
  <c r="Q88" i="1"/>
  <c r="R88" i="1"/>
  <c r="S88" i="1"/>
  <c r="T88" i="1" s="1"/>
  <c r="Q61" i="1"/>
  <c r="Q69" i="1"/>
  <c r="S69" i="1"/>
  <c r="Q77" i="1"/>
  <c r="S77" i="1"/>
  <c r="Q85" i="1"/>
  <c r="S85" i="1"/>
  <c r="T85" i="1" s="1"/>
  <c r="R85" i="1"/>
  <c r="R52" i="1"/>
  <c r="R53" i="1"/>
  <c r="S40" i="1"/>
  <c r="T40" i="1" s="1"/>
  <c r="S45" i="1"/>
  <c r="S50" i="1"/>
  <c r="T50" i="1" s="1"/>
  <c r="S24" i="1"/>
  <c r="Q29" i="1"/>
  <c r="Q34" i="1"/>
  <c r="Q28" i="1"/>
  <c r="Q26" i="1"/>
  <c r="Q36" i="1"/>
  <c r="Q41" i="1"/>
  <c r="Q44" i="1"/>
  <c r="Q47" i="1"/>
  <c r="Q38" i="1"/>
  <c r="Q43" i="1"/>
  <c r="Q24" i="1"/>
  <c r="Q30" i="1"/>
  <c r="Q46" i="1"/>
  <c r="Q51" i="1"/>
  <c r="Q33" i="1"/>
  <c r="Q42" i="1"/>
  <c r="Q49" i="1"/>
  <c r="Q25" i="1"/>
  <c r="Q37" i="1"/>
  <c r="Q50" i="1"/>
  <c r="Q27" i="1"/>
  <c r="Q39" i="1"/>
  <c r="Q48" i="1"/>
  <c r="Q31" i="1"/>
  <c r="Q32" i="1"/>
  <c r="Q40" i="1"/>
  <c r="Q45" i="1"/>
  <c r="S33" i="1"/>
  <c r="S29" i="1"/>
  <c r="S34" i="1"/>
  <c r="S52" i="1"/>
  <c r="S28" i="1"/>
  <c r="S26" i="1"/>
  <c r="S36" i="1"/>
  <c r="S41" i="1"/>
  <c r="S44" i="1"/>
  <c r="S47" i="1"/>
  <c r="S38" i="1"/>
  <c r="S43" i="1"/>
  <c r="S30" i="1"/>
  <c r="S46" i="1"/>
  <c r="S51" i="1"/>
  <c r="S42" i="1"/>
  <c r="S49" i="1"/>
  <c r="S25" i="1"/>
  <c r="S37" i="1"/>
  <c r="S27" i="1"/>
  <c r="S39" i="1"/>
  <c r="S48" i="1"/>
  <c r="S53" i="1"/>
  <c r="S31" i="1"/>
  <c r="U45" i="1" l="1"/>
  <c r="U32" i="1"/>
  <c r="U37" i="1"/>
  <c r="U33" i="1"/>
  <c r="U24" i="1"/>
  <c r="U38" i="1"/>
  <c r="U44" i="1"/>
  <c r="U36" i="1"/>
  <c r="U28" i="1"/>
  <c r="U61" i="1"/>
  <c r="U64" i="1"/>
  <c r="U56" i="1"/>
  <c r="U83" i="1"/>
  <c r="U75" i="1"/>
  <c r="U81" i="1"/>
  <c r="U76" i="1"/>
  <c r="U68" i="1"/>
  <c r="U87" i="1"/>
  <c r="U82" i="1"/>
  <c r="U74" i="1"/>
  <c r="U27" i="1"/>
  <c r="U46" i="1"/>
  <c r="U29" i="1"/>
  <c r="U86" i="1"/>
  <c r="U84" i="1"/>
  <c r="U40" i="1"/>
  <c r="U31" i="1"/>
  <c r="U39" i="1"/>
  <c r="U25" i="1"/>
  <c r="U42" i="1"/>
  <c r="U30" i="1"/>
  <c r="U43" i="1"/>
  <c r="U47" i="1"/>
  <c r="U41" i="1"/>
  <c r="U26" i="1"/>
  <c r="U34" i="1"/>
  <c r="U85" i="1"/>
  <c r="U77" i="1"/>
  <c r="U69" i="1"/>
  <c r="U88" i="1"/>
  <c r="U80" i="1"/>
  <c r="U59" i="1"/>
  <c r="U70" i="1"/>
  <c r="U62" i="1"/>
  <c r="U65" i="1"/>
  <c r="U57" i="1"/>
  <c r="U79" i="1"/>
  <c r="U71" i="1"/>
  <c r="U63" i="1"/>
  <c r="U58" i="1"/>
  <c r="U50" i="1"/>
  <c r="U48" i="1"/>
  <c r="U52" i="1"/>
  <c r="U49" i="1"/>
  <c r="U51" i="1"/>
  <c r="U53" i="1"/>
  <c r="T80" i="1"/>
  <c r="T69" i="1"/>
  <c r="T62" i="1"/>
  <c r="T57" i="1"/>
  <c r="T63" i="1"/>
  <c r="T79" i="1"/>
  <c r="T78" i="1"/>
  <c r="T55" i="1"/>
  <c r="T54" i="1"/>
  <c r="T56" i="1"/>
  <c r="T75" i="1"/>
  <c r="T81" i="1"/>
  <c r="T68" i="1"/>
  <c r="T74" i="1"/>
  <c r="T61" i="1"/>
  <c r="T60" i="1"/>
  <c r="T67" i="1"/>
  <c r="T66" i="1"/>
  <c r="T73" i="1"/>
  <c r="T72" i="1"/>
  <c r="T64" i="1"/>
  <c r="T70" i="1"/>
  <c r="T82" i="1"/>
  <c r="T58" i="1"/>
  <c r="T59" i="1"/>
  <c r="T76" i="1"/>
  <c r="T77" i="1"/>
  <c r="T83" i="1"/>
  <c r="T65" i="1"/>
  <c r="T71" i="1"/>
  <c r="T45" i="1"/>
  <c r="T53" i="1"/>
  <c r="T37" i="1"/>
  <c r="T30" i="1"/>
  <c r="T28" i="1"/>
  <c r="T39" i="1"/>
  <c r="T49" i="1"/>
  <c r="T51" i="1"/>
  <c r="T38" i="1"/>
  <c r="T44" i="1"/>
  <c r="T36" i="1"/>
  <c r="T34" i="1"/>
  <c r="T33" i="1"/>
  <c r="T31" i="1"/>
  <c r="T48" i="1"/>
  <c r="T27" i="1"/>
  <c r="T25" i="1"/>
  <c r="T42" i="1"/>
  <c r="T46" i="1"/>
  <c r="T43" i="1"/>
  <c r="T47" i="1"/>
  <c r="T41" i="1"/>
  <c r="T26" i="1"/>
  <c r="T52" i="1"/>
  <c r="T29" i="1"/>
  <c r="T24" i="1"/>
  <c r="R24" i="1"/>
  <c r="R27" i="1"/>
  <c r="R29" i="1"/>
  <c r="R31" i="1"/>
  <c r="R33" i="1"/>
  <c r="R36" i="1"/>
  <c r="R26" i="1"/>
  <c r="R28" i="1"/>
  <c r="R30" i="1"/>
  <c r="R32" i="1"/>
  <c r="R34" i="1"/>
  <c r="R37" i="1"/>
  <c r="R25" i="1"/>
  <c r="C19" i="1" l="1"/>
  <c r="G19" i="1" s="1"/>
  <c r="C18" i="1"/>
  <c r="E18" i="1" s="1"/>
  <c r="C17" i="1"/>
  <c r="E17" i="1" s="1"/>
  <c r="C16" i="1"/>
  <c r="G16" i="1" s="1"/>
  <c r="C20" i="1"/>
  <c r="G20" i="1" s="1"/>
  <c r="E16" i="1"/>
  <c r="D19" i="1"/>
  <c r="G17" i="1" l="1"/>
  <c r="D18" i="1"/>
  <c r="J16" i="1"/>
  <c r="I19" i="1"/>
  <c r="N17" i="1"/>
  <c r="H19" i="1"/>
  <c r="J20" i="1"/>
  <c r="L18" i="1"/>
  <c r="G18" i="1"/>
  <c r="M16" i="1"/>
  <c r="H18" i="1"/>
  <c r="K18" i="1"/>
  <c r="N16" i="1"/>
  <c r="F16" i="1"/>
  <c r="I16" i="1"/>
  <c r="F17" i="1"/>
  <c r="L19" i="1"/>
  <c r="M19" i="1"/>
  <c r="E19" i="1"/>
  <c r="E20" i="1"/>
  <c r="N18" i="1"/>
  <c r="J18" i="1"/>
  <c r="F18" i="1"/>
  <c r="M18" i="1"/>
  <c r="O19" i="1" s="1"/>
  <c r="I18" i="1"/>
  <c r="L16" i="1"/>
  <c r="H16" i="1"/>
  <c r="D16" i="1"/>
  <c r="K16" i="1"/>
  <c r="M20" i="1"/>
  <c r="J17" i="1"/>
  <c r="K17" i="1"/>
  <c r="N19" i="1"/>
  <c r="J19" i="1"/>
  <c r="F19" i="1"/>
  <c r="K19" i="1"/>
  <c r="N20" i="1"/>
  <c r="F20" i="1"/>
  <c r="I20" i="1"/>
  <c r="D17" i="1"/>
  <c r="L17" i="1"/>
  <c r="H17" i="1"/>
  <c r="M17" i="1"/>
  <c r="I17" i="1"/>
  <c r="L20" i="1"/>
  <c r="H20" i="1"/>
  <c r="D20" i="1"/>
  <c r="K20" i="1"/>
  <c r="O20" i="1" l="1"/>
  <c r="O17" i="1"/>
  <c r="O18" i="1"/>
</calcChain>
</file>

<file path=xl/comments1.xml><?xml version="1.0" encoding="utf-8"?>
<comments xmlns="http://schemas.openxmlformats.org/spreadsheetml/2006/main">
  <authors>
    <author>Lee</author>
  </authors>
  <commentList>
    <comment ref="K11" authorId="0" shapeId="0">
      <text>
        <r>
          <rPr>
            <sz val="9"/>
            <color indexed="81"/>
            <rFont val="돋움"/>
            <family val="3"/>
            <charset val="129"/>
          </rPr>
          <t>왼쪽표에서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10"/>
            <rFont val="맑은 고딕"/>
            <family val="3"/>
            <charset val="129"/>
          </rPr>
          <t>데이터 이용량(MB)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수치이상만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나열하기</t>
        </r>
      </text>
    </comment>
    <comment ref="K12" authorId="0" shapeId="0">
      <text>
        <r>
          <rPr>
            <sz val="9"/>
            <color indexed="81"/>
            <rFont val="돋움"/>
            <family val="3"/>
            <charset val="129"/>
          </rPr>
          <t>각각의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맞춤형</t>
        </r>
        <r>
          <rPr>
            <sz val="9"/>
            <color indexed="81"/>
            <rFont val="Tahoma"/>
            <family val="2"/>
          </rPr>
          <t xml:space="preserve"> 5</t>
        </r>
        <r>
          <rPr>
            <sz val="9"/>
            <color indexed="81"/>
            <rFont val="돋움"/>
            <family val="3"/>
            <charset val="129"/>
          </rPr>
          <t>가지중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하나만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순위에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나오도록</t>
        </r>
      </text>
    </comment>
    <comment ref="C22" authorId="0" shapeId="0">
      <text>
        <r>
          <rPr>
            <sz val="9"/>
            <color indexed="81"/>
            <rFont val="돋움"/>
            <family val="3"/>
            <charset val="129"/>
          </rPr>
          <t>검색을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제외하시려면</t>
        </r>
        <r>
          <rPr>
            <sz val="9"/>
            <color indexed="81"/>
            <rFont val="Tahoma"/>
            <family val="2"/>
          </rPr>
          <t xml:space="preserve"> O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선택하세요</t>
        </r>
        <r>
          <rPr>
            <sz val="9"/>
            <color indexed="81"/>
            <rFont val="Tahoma"/>
            <family val="2"/>
          </rPr>
          <t>. 
X</t>
        </r>
        <r>
          <rPr>
            <sz val="9"/>
            <color indexed="81"/>
            <rFont val="돋움"/>
            <family val="3"/>
            <charset val="129"/>
          </rPr>
          <t>라고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되있거나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빈칸이라면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목록에서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검색가능합니다</t>
        </r>
        <r>
          <rPr>
            <sz val="9"/>
            <color indexed="81"/>
            <rFont val="Tahoma"/>
            <family val="2"/>
          </rPr>
          <t>.</t>
        </r>
      </text>
    </comment>
  </commentList>
</comments>
</file>

<file path=xl/comments2.xml><?xml version="1.0" encoding="utf-8"?>
<comments xmlns="http://schemas.openxmlformats.org/spreadsheetml/2006/main">
  <authors>
    <author>Lee</author>
  </authors>
  <commentList>
    <comment ref="K11" authorId="0" shapeId="0">
      <text>
        <r>
          <rPr>
            <sz val="9"/>
            <color indexed="81"/>
            <rFont val="돋움"/>
            <family val="3"/>
            <charset val="129"/>
          </rPr>
          <t>왼쪽표에서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10"/>
            <rFont val="맑은 고딕"/>
            <family val="3"/>
            <charset val="129"/>
          </rPr>
          <t>데이터 이용량(MB)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수치이상만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나열하기</t>
        </r>
      </text>
    </comment>
    <comment ref="C22" authorId="0" shapeId="0">
      <text>
        <r>
          <rPr>
            <sz val="9"/>
            <color indexed="81"/>
            <rFont val="돋움"/>
            <family val="3"/>
            <charset val="129"/>
          </rPr>
          <t>검색을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제외하시려면</t>
        </r>
        <r>
          <rPr>
            <sz val="9"/>
            <color indexed="81"/>
            <rFont val="Tahoma"/>
            <family val="2"/>
          </rPr>
          <t xml:space="preserve"> O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선택하세요</t>
        </r>
        <r>
          <rPr>
            <sz val="9"/>
            <color indexed="81"/>
            <rFont val="Tahoma"/>
            <family val="2"/>
          </rPr>
          <t>. 
X</t>
        </r>
        <r>
          <rPr>
            <sz val="9"/>
            <color indexed="81"/>
            <rFont val="돋움"/>
            <family val="3"/>
            <charset val="129"/>
          </rPr>
          <t>라고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되있거나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빈칸이라면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목록에서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검색가능합니다</t>
        </r>
        <r>
          <rPr>
            <sz val="9"/>
            <color indexed="81"/>
            <rFont val="Tahoma"/>
            <family val="2"/>
          </rPr>
          <t>.</t>
        </r>
      </text>
    </comment>
  </commentList>
</comments>
</file>

<file path=xl/comments3.xml><?xml version="1.0" encoding="utf-8"?>
<comments xmlns="http://schemas.openxmlformats.org/spreadsheetml/2006/main">
  <authors>
    <author>Lee</author>
  </authors>
  <commentList>
    <comment ref="K12" authorId="0" shapeId="0">
      <text>
        <r>
          <rPr>
            <sz val="9"/>
            <color indexed="81"/>
            <rFont val="돋움"/>
            <family val="3"/>
            <charset val="129"/>
          </rPr>
          <t>각각의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맞춤형</t>
        </r>
        <r>
          <rPr>
            <sz val="9"/>
            <color indexed="81"/>
            <rFont val="Tahoma"/>
            <family val="2"/>
          </rPr>
          <t xml:space="preserve"> 6</t>
        </r>
        <r>
          <rPr>
            <sz val="9"/>
            <color indexed="81"/>
            <rFont val="돋움"/>
            <family val="3"/>
            <charset val="129"/>
          </rPr>
          <t>가지중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하나만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순위에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나오도록</t>
        </r>
      </text>
    </comment>
    <comment ref="C22" authorId="0" shapeId="0">
      <text>
        <r>
          <rPr>
            <sz val="9"/>
            <color indexed="81"/>
            <rFont val="돋움"/>
            <family val="3"/>
            <charset val="129"/>
          </rPr>
          <t>검색을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제외하시려면</t>
        </r>
        <r>
          <rPr>
            <sz val="9"/>
            <color indexed="81"/>
            <rFont val="Tahoma"/>
            <family val="2"/>
          </rPr>
          <t xml:space="preserve"> O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선택하세요</t>
        </r>
        <r>
          <rPr>
            <sz val="9"/>
            <color indexed="81"/>
            <rFont val="Tahoma"/>
            <family val="2"/>
          </rPr>
          <t>. 
X</t>
        </r>
        <r>
          <rPr>
            <sz val="9"/>
            <color indexed="81"/>
            <rFont val="돋움"/>
            <family val="3"/>
            <charset val="129"/>
          </rPr>
          <t>라고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되있거나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빈칸이라면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목록에서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검색가능합니다</t>
        </r>
        <r>
          <rPr>
            <sz val="9"/>
            <color indexed="81"/>
            <rFont val="Tahoma"/>
            <family val="2"/>
          </rPr>
          <t>.</t>
        </r>
      </text>
    </comment>
  </commentList>
</comments>
</file>

<file path=xl/comments4.xml><?xml version="1.0" encoding="utf-8"?>
<comments xmlns="http://schemas.openxmlformats.org/spreadsheetml/2006/main">
  <authors>
    <author>Lee</author>
  </authors>
  <commentList>
    <comment ref="G7" authorId="0" shapeId="0">
      <text>
        <r>
          <rPr>
            <sz val="9"/>
            <color indexed="81"/>
            <rFont val="돋움"/>
            <family val="3"/>
            <charset val="129"/>
          </rPr>
          <t>왼쪽표에서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10"/>
            <rFont val="맑은 고딕"/>
            <family val="3"/>
            <charset val="129"/>
          </rPr>
          <t>데이터 이용량(MB)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수치이상만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나열하기</t>
        </r>
      </text>
    </comment>
    <comment ref="G8" authorId="0" shapeId="0">
      <text>
        <r>
          <rPr>
            <sz val="9"/>
            <color indexed="81"/>
            <rFont val="돋움"/>
            <family val="3"/>
            <charset val="129"/>
          </rPr>
          <t>각각의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맞춤형</t>
        </r>
        <r>
          <rPr>
            <sz val="9"/>
            <color indexed="81"/>
            <rFont val="Tahoma"/>
            <family val="2"/>
          </rPr>
          <t xml:space="preserve"> 5</t>
        </r>
        <r>
          <rPr>
            <sz val="9"/>
            <color indexed="81"/>
            <rFont val="돋움"/>
            <family val="3"/>
            <charset val="129"/>
          </rPr>
          <t>가지중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하나만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순위에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나오도록</t>
        </r>
      </text>
    </comment>
  </commentList>
</comments>
</file>

<file path=xl/comments5.xml><?xml version="1.0" encoding="utf-8"?>
<comments xmlns="http://schemas.openxmlformats.org/spreadsheetml/2006/main">
  <authors>
    <author>Lee</author>
  </authors>
  <commentList>
    <comment ref="K11" authorId="0" shapeId="0">
      <text>
        <r>
          <rPr>
            <sz val="9"/>
            <color indexed="81"/>
            <rFont val="돋움"/>
            <family val="3"/>
            <charset val="129"/>
          </rPr>
          <t>왼쪽표에서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10"/>
            <rFont val="맑은 고딕"/>
            <family val="3"/>
            <charset val="129"/>
          </rPr>
          <t>데이터 이용량(MB)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수치이상만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나열하기</t>
        </r>
      </text>
    </comment>
    <comment ref="K12" authorId="0" shapeId="0">
      <text>
        <r>
          <rPr>
            <sz val="9"/>
            <color indexed="81"/>
            <rFont val="돋움"/>
            <family val="3"/>
            <charset val="129"/>
          </rPr>
          <t>각각의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맞춤형</t>
        </r>
        <r>
          <rPr>
            <sz val="9"/>
            <color indexed="81"/>
            <rFont val="Tahoma"/>
            <family val="2"/>
          </rPr>
          <t xml:space="preserve"> 5</t>
        </r>
        <r>
          <rPr>
            <sz val="9"/>
            <color indexed="81"/>
            <rFont val="돋움"/>
            <family val="3"/>
            <charset val="129"/>
          </rPr>
          <t>가지중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하나만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순위에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나오도록</t>
        </r>
      </text>
    </comment>
    <comment ref="C22" authorId="0" shapeId="0">
      <text>
        <r>
          <rPr>
            <sz val="9"/>
            <color indexed="81"/>
            <rFont val="돋움"/>
            <family val="3"/>
            <charset val="129"/>
          </rPr>
          <t>검색을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제외하시려면</t>
        </r>
        <r>
          <rPr>
            <sz val="9"/>
            <color indexed="81"/>
            <rFont val="Tahoma"/>
            <family val="2"/>
          </rPr>
          <t xml:space="preserve"> O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선택하세요</t>
        </r>
        <r>
          <rPr>
            <sz val="9"/>
            <color indexed="81"/>
            <rFont val="Tahoma"/>
            <family val="2"/>
          </rPr>
          <t>. 
X</t>
        </r>
        <r>
          <rPr>
            <sz val="9"/>
            <color indexed="81"/>
            <rFont val="돋움"/>
            <family val="3"/>
            <charset val="129"/>
          </rPr>
          <t>라고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되있거나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빈칸이라면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목록에서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검색가능합니다</t>
        </r>
        <r>
          <rPr>
            <sz val="9"/>
            <color indexed="81"/>
            <rFont val="Tahoma"/>
            <family val="2"/>
          </rPr>
          <t>.</t>
        </r>
      </text>
    </comment>
  </commentList>
</comments>
</file>

<file path=xl/comments6.xml><?xml version="1.0" encoding="utf-8"?>
<comments xmlns="http://schemas.openxmlformats.org/spreadsheetml/2006/main">
  <authors>
    <author>Lee</author>
  </authors>
  <commentList>
    <comment ref="K11" authorId="0" shapeId="0">
      <text>
        <r>
          <rPr>
            <sz val="9"/>
            <color indexed="81"/>
            <rFont val="돋움"/>
            <family val="3"/>
            <charset val="129"/>
          </rPr>
          <t>왼쪽표에서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10"/>
            <rFont val="맑은 고딕"/>
            <family val="3"/>
            <charset val="129"/>
          </rPr>
          <t>데이터 이용량(MB)</t>
        </r>
        <r>
          <rPr>
            <sz val="9"/>
            <color indexed="81"/>
            <rFont val="돋움"/>
            <family val="3"/>
            <charset val="129"/>
          </rPr>
          <t>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수치이상만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나열하기</t>
        </r>
      </text>
    </comment>
    <comment ref="C22" authorId="0" shapeId="0">
      <text>
        <r>
          <rPr>
            <sz val="9"/>
            <color indexed="81"/>
            <rFont val="돋움"/>
            <family val="3"/>
            <charset val="129"/>
          </rPr>
          <t>검색을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제외하시려면</t>
        </r>
        <r>
          <rPr>
            <sz val="9"/>
            <color indexed="81"/>
            <rFont val="Tahoma"/>
            <family val="2"/>
          </rPr>
          <t xml:space="preserve"> O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선택하세요</t>
        </r>
        <r>
          <rPr>
            <sz val="9"/>
            <color indexed="81"/>
            <rFont val="Tahoma"/>
            <family val="2"/>
          </rPr>
          <t>. 
X</t>
        </r>
        <r>
          <rPr>
            <sz val="9"/>
            <color indexed="81"/>
            <rFont val="돋움"/>
            <family val="3"/>
            <charset val="129"/>
          </rPr>
          <t>라고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되있거나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빈칸이라면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목록에서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검색가능합니다</t>
        </r>
        <r>
          <rPr>
            <sz val="9"/>
            <color indexed="81"/>
            <rFont val="Tahoma"/>
            <family val="2"/>
          </rPr>
          <t>.</t>
        </r>
      </text>
    </comment>
  </commentList>
</comments>
</file>

<file path=xl/comments7.xml><?xml version="1.0" encoding="utf-8"?>
<comments xmlns="http://schemas.openxmlformats.org/spreadsheetml/2006/main">
  <authors>
    <author>Lee</author>
  </authors>
  <commentList>
    <comment ref="K12" authorId="0" shapeId="0">
      <text>
        <r>
          <rPr>
            <sz val="9"/>
            <color indexed="81"/>
            <rFont val="돋움"/>
            <family val="3"/>
            <charset val="129"/>
          </rPr>
          <t>각각의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맞춤형</t>
        </r>
        <r>
          <rPr>
            <sz val="9"/>
            <color indexed="81"/>
            <rFont val="Tahoma"/>
            <family val="2"/>
          </rPr>
          <t xml:space="preserve"> 6</t>
        </r>
        <r>
          <rPr>
            <sz val="9"/>
            <color indexed="81"/>
            <rFont val="돋움"/>
            <family val="3"/>
            <charset val="129"/>
          </rPr>
          <t>가지중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하나만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순위에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나오도록</t>
        </r>
      </text>
    </comment>
    <comment ref="C22" authorId="0" shapeId="0">
      <text>
        <r>
          <rPr>
            <sz val="9"/>
            <color indexed="81"/>
            <rFont val="돋움"/>
            <family val="3"/>
            <charset val="129"/>
          </rPr>
          <t>검색을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제외하시려면</t>
        </r>
        <r>
          <rPr>
            <sz val="9"/>
            <color indexed="81"/>
            <rFont val="Tahoma"/>
            <family val="2"/>
          </rPr>
          <t xml:space="preserve"> O</t>
        </r>
        <r>
          <rPr>
            <sz val="9"/>
            <color indexed="81"/>
            <rFont val="돋움"/>
            <family val="3"/>
            <charset val="129"/>
          </rPr>
          <t>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선택하세요</t>
        </r>
        <r>
          <rPr>
            <sz val="9"/>
            <color indexed="81"/>
            <rFont val="Tahoma"/>
            <family val="2"/>
          </rPr>
          <t>. 
X</t>
        </r>
        <r>
          <rPr>
            <sz val="9"/>
            <color indexed="81"/>
            <rFont val="돋움"/>
            <family val="3"/>
            <charset val="129"/>
          </rPr>
          <t>라고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되있거나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빈칸이라면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목록에서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검색가능합니다</t>
        </r>
        <r>
          <rPr>
            <sz val="9"/>
            <color indexed="81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<sst xmlns="http://schemas.openxmlformats.org/spreadsheetml/2006/main" count="1115" uniqueCount="289">
  <si>
    <t>평균 국내음성 사용시간(분)</t>
    <phoneticPr fontId="3" type="noConversion"/>
  </si>
  <si>
    <t>문자(SMS) 이용건수</t>
    <phoneticPr fontId="3" type="noConversion"/>
  </si>
  <si>
    <t>데이터 이용량(MB)</t>
    <phoneticPr fontId="3" type="noConversion"/>
  </si>
  <si>
    <t>요금제명</t>
  </si>
  <si>
    <t>월정액</t>
  </si>
  <si>
    <t>문자</t>
    <phoneticPr fontId="3" type="noConversion"/>
  </si>
  <si>
    <t>데이터(MB)</t>
    <phoneticPr fontId="3" type="noConversion"/>
  </si>
  <si>
    <t>요금할인</t>
  </si>
  <si>
    <t>기본요금</t>
    <phoneticPr fontId="3" type="noConversion"/>
  </si>
  <si>
    <t>데이터</t>
    <phoneticPr fontId="3" type="noConversion"/>
  </si>
  <si>
    <t>차이</t>
    <phoneticPr fontId="3" type="noConversion"/>
  </si>
  <si>
    <t>(부가세포함)</t>
    <phoneticPr fontId="3" type="noConversion"/>
  </si>
  <si>
    <t>rank</t>
    <phoneticPr fontId="3" type="noConversion"/>
  </si>
  <si>
    <t>음성추가 통화료
(부가세미포함)</t>
    <phoneticPr fontId="3" type="noConversion"/>
  </si>
  <si>
    <t>문자추가비
(부가세미포함)</t>
    <phoneticPr fontId="3" type="noConversion"/>
  </si>
  <si>
    <t>무제한</t>
    <phoneticPr fontId="3" type="noConversion"/>
  </si>
  <si>
    <t>X</t>
  </si>
  <si>
    <t>복지할인(35%)</t>
    <phoneticPr fontId="3" type="noConversion"/>
  </si>
  <si>
    <t>무제한</t>
    <phoneticPr fontId="3" type="noConversion"/>
  </si>
  <si>
    <t>추천
요금제</t>
    <phoneticPr fontId="3" type="noConversion"/>
  </si>
  <si>
    <r>
      <t xml:space="preserve">* </t>
    </r>
    <r>
      <rPr>
        <b/>
        <sz val="10"/>
        <color rgb="FFFF0000"/>
        <rFont val="맑은 고딕"/>
        <family val="3"/>
        <charset val="129"/>
        <scheme val="minor"/>
      </rPr>
      <t>노란색 배경의 셀만 입력 가능</t>
    </r>
    <r>
      <rPr>
        <sz val="10"/>
        <color theme="1"/>
        <rFont val="맑은 고딕"/>
        <family val="3"/>
        <charset val="129"/>
        <scheme val="minor"/>
      </rPr>
      <t>합니다.</t>
    </r>
    <phoneticPr fontId="3" type="noConversion"/>
  </si>
  <si>
    <t>통화시간(분)</t>
    <phoneticPr fontId="3" type="noConversion"/>
  </si>
  <si>
    <t>실제요금이 같더라도(즉 동순위이더라도) 윗쪽에 먼저 나열되면 순위가 더 높습니다.</t>
    <phoneticPr fontId="3" type="noConversion"/>
  </si>
  <si>
    <r>
      <t xml:space="preserve">* 기본요금, 통화와 문자의 추가사용료로 계산이 됩니다. </t>
    </r>
    <r>
      <rPr>
        <b/>
        <sz val="10"/>
        <color rgb="FFFF0000"/>
        <rFont val="맑은 고딕"/>
        <family val="3"/>
        <charset val="129"/>
        <scheme val="minor"/>
      </rPr>
      <t>데이터이용량</t>
    </r>
    <r>
      <rPr>
        <sz val="10"/>
        <color theme="1"/>
        <rFont val="맑은 고딕"/>
        <family val="3"/>
        <charset val="129"/>
        <scheme val="minor"/>
      </rPr>
      <t xml:space="preserve">에 관한 </t>
    </r>
    <r>
      <rPr>
        <b/>
        <sz val="10"/>
        <color rgb="FFFF0000"/>
        <rFont val="맑은 고딕"/>
        <family val="3"/>
        <charset val="129"/>
        <scheme val="minor"/>
      </rPr>
      <t>옵션을 추가</t>
    </r>
    <r>
      <rPr>
        <sz val="10"/>
        <color theme="1"/>
        <rFont val="맑은 고딕"/>
        <family val="3"/>
        <charset val="129"/>
        <scheme val="minor"/>
      </rPr>
      <t>했습니다.(데이터 추가사용에 대한 비용은 계산되지 않았습니다.)</t>
    </r>
    <phoneticPr fontId="3" type="noConversion"/>
  </si>
  <si>
    <r>
      <t xml:space="preserve">* 데이터가 부족하시면 </t>
    </r>
    <r>
      <rPr>
        <b/>
        <sz val="10"/>
        <color rgb="FFFF0000"/>
        <rFont val="맑은 고딕"/>
        <family val="3"/>
        <charset val="129"/>
        <scheme val="minor"/>
      </rPr>
      <t>데이터가 많은 요금제를 선택</t>
    </r>
    <r>
      <rPr>
        <sz val="10"/>
        <rFont val="맑은 고딕"/>
        <family val="3"/>
        <charset val="129"/>
        <scheme val="minor"/>
      </rPr>
      <t>하시거나</t>
    </r>
    <r>
      <rPr>
        <b/>
        <sz val="10"/>
        <color rgb="FFFF0000"/>
        <rFont val="맑은 고딕"/>
        <family val="3"/>
        <charset val="129"/>
        <scheme val="minor"/>
      </rPr>
      <t xml:space="preserve"> 데이터 관련부가서비스를 </t>
    </r>
    <r>
      <rPr>
        <b/>
        <sz val="10"/>
        <color rgb="FF0070C0"/>
        <rFont val="맑은 고딕"/>
        <family val="3"/>
        <charset val="129"/>
        <scheme val="minor"/>
      </rPr>
      <t xml:space="preserve">반드시 </t>
    </r>
    <r>
      <rPr>
        <b/>
        <sz val="10"/>
        <color rgb="FFFF0000"/>
        <rFont val="맑은 고딕"/>
        <family val="3"/>
        <charset val="129"/>
        <scheme val="minor"/>
      </rPr>
      <t>이용</t>
    </r>
    <r>
      <rPr>
        <sz val="10"/>
        <color theme="1"/>
        <rFont val="맑은 고딕"/>
        <family val="3"/>
        <charset val="129"/>
        <scheme val="minor"/>
      </rPr>
      <t>하여야 합니다.</t>
    </r>
    <phoneticPr fontId="3" type="noConversion"/>
  </si>
  <si>
    <t>기본사항 입력</t>
    <phoneticPr fontId="3" type="noConversion"/>
  </si>
  <si>
    <t>할인종류 및 선택나열옵션 입력</t>
    <phoneticPr fontId="3" type="noConversion"/>
  </si>
  <si>
    <t>모두다올레 35</t>
    <phoneticPr fontId="3" type="noConversion"/>
  </si>
  <si>
    <t>모두다올레 45</t>
    <phoneticPr fontId="3" type="noConversion"/>
  </si>
  <si>
    <t>모두다올레 55</t>
    <phoneticPr fontId="3" type="noConversion"/>
  </si>
  <si>
    <t>모두다올레 65</t>
    <phoneticPr fontId="3" type="noConversion"/>
  </si>
  <si>
    <t>모두다올레 75</t>
    <phoneticPr fontId="3" type="noConversion"/>
  </si>
  <si>
    <t>완전무한 77</t>
    <phoneticPr fontId="3" type="noConversion"/>
  </si>
  <si>
    <t>모두다올레 85</t>
    <phoneticPr fontId="3" type="noConversion"/>
  </si>
  <si>
    <t>완전무한 97</t>
    <phoneticPr fontId="3" type="noConversion"/>
  </si>
  <si>
    <t>모두다올레 100</t>
    <phoneticPr fontId="3" type="noConversion"/>
  </si>
  <si>
    <t>모두다올레 125</t>
    <phoneticPr fontId="3" type="noConversion"/>
  </si>
  <si>
    <t>완전무한 129</t>
    <phoneticPr fontId="3" type="noConversion"/>
  </si>
  <si>
    <t>무제한(유무선)</t>
    <phoneticPr fontId="3" type="noConversion"/>
  </si>
  <si>
    <t>무제한(유무선)</t>
    <phoneticPr fontId="3" type="noConversion"/>
  </si>
  <si>
    <t>무제한(유무선)</t>
    <phoneticPr fontId="3" type="noConversion"/>
  </si>
  <si>
    <t>LTE 340</t>
    <phoneticPr fontId="3" type="noConversion"/>
  </si>
  <si>
    <t>LTE 420</t>
    <phoneticPr fontId="3" type="noConversion"/>
  </si>
  <si>
    <t>LTE 520</t>
    <phoneticPr fontId="3" type="noConversion"/>
  </si>
  <si>
    <t>LTE 620</t>
    <phoneticPr fontId="3" type="noConversion"/>
  </si>
  <si>
    <t>LTE 720</t>
    <phoneticPr fontId="3" type="noConversion"/>
  </si>
  <si>
    <t>LTE 1300(망내무제한)</t>
    <phoneticPr fontId="3" type="noConversion"/>
  </si>
  <si>
    <t>LTE 1250(망내무제한)</t>
    <phoneticPr fontId="3" type="noConversion"/>
  </si>
  <si>
    <t>LTE 약정할인(24개월)</t>
    <phoneticPr fontId="3" type="noConversion"/>
  </si>
  <si>
    <t>O</t>
    <phoneticPr fontId="3" type="noConversion"/>
  </si>
  <si>
    <t>완전무한 67</t>
    <phoneticPr fontId="3" type="noConversion"/>
  </si>
  <si>
    <t>LTE WARP
요금제</t>
    <phoneticPr fontId="3" type="noConversion"/>
  </si>
  <si>
    <t>LTE G550(망내3000분)</t>
    <phoneticPr fontId="3" type="noConversion"/>
  </si>
  <si>
    <t>LTE G650(망내3000분)</t>
    <phoneticPr fontId="3" type="noConversion"/>
  </si>
  <si>
    <t>LTE G750(망내3000분)</t>
    <phoneticPr fontId="3" type="noConversion"/>
  </si>
  <si>
    <t>LTE 850(망내3000분)</t>
    <phoneticPr fontId="3" type="noConversion"/>
  </si>
  <si>
    <t>LTE 1000(망내3000분)</t>
    <phoneticPr fontId="3" type="noConversion"/>
  </si>
  <si>
    <t>LTE 950(망내3000분)</t>
    <phoneticPr fontId="3" type="noConversion"/>
  </si>
  <si>
    <t>LTE 1100(망내3000분)</t>
    <phoneticPr fontId="3" type="noConversion"/>
  </si>
  <si>
    <t>LTE 550(안심Qos)</t>
    <phoneticPr fontId="3" type="noConversion"/>
  </si>
  <si>
    <t>LTE 650(안심Qos)</t>
    <phoneticPr fontId="3" type="noConversion"/>
  </si>
  <si>
    <t>LTE 750(안심Qos)</t>
    <phoneticPr fontId="3" type="noConversion"/>
  </si>
  <si>
    <t>무제한</t>
    <phoneticPr fontId="3" type="noConversion"/>
  </si>
  <si>
    <r>
      <t xml:space="preserve">KT 고객간 </t>
    </r>
    <r>
      <rPr>
        <b/>
        <sz val="10"/>
        <color theme="1"/>
        <rFont val="맑은 고딕"/>
        <family val="3"/>
        <charset val="129"/>
        <scheme val="minor"/>
      </rPr>
      <t>발신통화비중</t>
    </r>
    <r>
      <rPr>
        <sz val="10"/>
        <color theme="1"/>
        <rFont val="맑은 고딕"/>
        <family val="2"/>
        <charset val="129"/>
        <scheme val="minor"/>
      </rPr>
      <t>(%)</t>
    </r>
    <phoneticPr fontId="3" type="noConversion"/>
  </si>
  <si>
    <r>
      <t xml:space="preserve">모두다올레
요금제
</t>
    </r>
    <r>
      <rPr>
        <b/>
        <sz val="9"/>
        <color rgb="FFFF0000"/>
        <rFont val="맑은 고딕"/>
        <family val="3"/>
        <charset val="129"/>
        <scheme val="minor"/>
      </rPr>
      <t>망내통화무제한
망내영상통화
무제한</t>
    </r>
    <phoneticPr fontId="3" type="noConversion"/>
  </si>
  <si>
    <t>무제한</t>
    <phoneticPr fontId="3" type="noConversion"/>
  </si>
  <si>
    <t>최종</t>
    <phoneticPr fontId="3" type="noConversion"/>
  </si>
  <si>
    <t>데이터이용량-데이터</t>
    <phoneticPr fontId="3" type="noConversion"/>
  </si>
  <si>
    <t>기본</t>
    <phoneticPr fontId="3" type="noConversion"/>
  </si>
  <si>
    <t>그룹</t>
    <phoneticPr fontId="3" type="noConversion"/>
  </si>
  <si>
    <t>그룹+데이터</t>
    <phoneticPr fontId="3" type="noConversion"/>
  </si>
  <si>
    <t>뭉올할인</t>
    <phoneticPr fontId="3" type="noConversion"/>
  </si>
  <si>
    <r>
      <t xml:space="preserve">LTE WARP
요금제
</t>
    </r>
    <r>
      <rPr>
        <b/>
        <sz val="9"/>
        <color rgb="FFFF0000"/>
        <rFont val="맑은 고딕"/>
        <family val="3"/>
        <charset val="129"/>
        <scheme val="minor"/>
      </rPr>
      <t xml:space="preserve">데이터 무제한
</t>
    </r>
    <r>
      <rPr>
        <b/>
        <sz val="9"/>
        <color rgb="FF0070C0"/>
        <rFont val="맑은 고딕"/>
        <family val="3"/>
        <charset val="129"/>
        <scheme val="minor"/>
      </rPr>
      <t>(신규가입불가)</t>
    </r>
    <phoneticPr fontId="3" type="noConversion"/>
  </si>
  <si>
    <r>
      <t xml:space="preserve">LTE WARP
요금제
</t>
    </r>
    <r>
      <rPr>
        <b/>
        <sz val="9"/>
        <color rgb="FFFF0000"/>
        <rFont val="맑은 고딕"/>
        <family val="3"/>
        <charset val="129"/>
        <scheme val="minor"/>
      </rPr>
      <t>망내통화3000분 or 무제한</t>
    </r>
    <phoneticPr fontId="3" type="noConversion"/>
  </si>
  <si>
    <t>LTE 뭉치면 올레 할인</t>
    <phoneticPr fontId="3" type="noConversion"/>
  </si>
  <si>
    <t>LTE 망내 34</t>
    <phoneticPr fontId="3" type="noConversion"/>
  </si>
  <si>
    <t>LTE 망내 42</t>
    <phoneticPr fontId="3" type="noConversion"/>
  </si>
  <si>
    <t>LTE 망내 52</t>
    <phoneticPr fontId="3" type="noConversion"/>
  </si>
  <si>
    <t>LTE 음성무한자유 69</t>
  </si>
  <si>
    <t>무제한(무선)</t>
  </si>
  <si>
    <t>LTE 음성무한자유 79</t>
  </si>
  <si>
    <t>LTE 음성무한자유 89</t>
  </si>
  <si>
    <t>무제한(유무선)</t>
  </si>
  <si>
    <t>LTE 음성무한자유 99</t>
  </si>
  <si>
    <t>무제한</t>
  </si>
  <si>
    <t>한방에yo할인</t>
    <phoneticPr fontId="3" type="noConversion"/>
  </si>
  <si>
    <t>한방에yo 할인(결합할인)</t>
    <phoneticPr fontId="3" type="noConversion"/>
  </si>
  <si>
    <t>LTE 34</t>
  </si>
  <si>
    <t>LTE 42</t>
  </si>
  <si>
    <t>LTE 52</t>
  </si>
  <si>
    <t>LTE 62</t>
  </si>
  <si>
    <t>LTE 72</t>
  </si>
  <si>
    <t>LTE 85</t>
  </si>
  <si>
    <t>LTE 100</t>
  </si>
  <si>
    <t>LTE 120</t>
  </si>
  <si>
    <t>LTE 통합형
요금제</t>
    <phoneticPr fontId="3" type="noConversion"/>
  </si>
  <si>
    <r>
      <t xml:space="preserve">LTE 망내무제한
요금제
</t>
    </r>
    <r>
      <rPr>
        <b/>
        <sz val="9"/>
        <color rgb="FFFF0000"/>
        <rFont val="맑은 고딕"/>
        <family val="3"/>
        <charset val="129"/>
        <scheme val="minor"/>
      </rPr>
      <t>망내통화무제한</t>
    </r>
    <phoneticPr fontId="3" type="noConversion"/>
  </si>
  <si>
    <r>
      <t xml:space="preserve">LTE 음성
무한자유 요금제
</t>
    </r>
    <r>
      <rPr>
        <b/>
        <sz val="9"/>
        <color rgb="FFFF0000"/>
        <rFont val="맑은 고딕"/>
        <family val="3"/>
        <charset val="129"/>
        <scheme val="minor"/>
      </rPr>
      <t>음성 무제한 
(무선 or 유무선)</t>
    </r>
    <phoneticPr fontId="3" type="noConversion"/>
  </si>
  <si>
    <r>
      <t xml:space="preserve">U+ 고객간 </t>
    </r>
    <r>
      <rPr>
        <b/>
        <sz val="10"/>
        <color theme="1"/>
        <rFont val="맑은 고딕"/>
        <family val="3"/>
        <charset val="129"/>
        <scheme val="minor"/>
      </rPr>
      <t>발신통화비중</t>
    </r>
    <r>
      <rPr>
        <sz val="10"/>
        <color theme="1"/>
        <rFont val="맑은 고딕"/>
        <family val="2"/>
        <charset val="129"/>
        <scheme val="minor"/>
      </rPr>
      <t>(%)</t>
    </r>
    <phoneticPr fontId="3" type="noConversion"/>
  </si>
  <si>
    <t>Single LTE 망내 34</t>
    <phoneticPr fontId="3" type="noConversion"/>
  </si>
  <si>
    <t>Single LTE 망내 42</t>
    <phoneticPr fontId="3" type="noConversion"/>
  </si>
  <si>
    <t>Single LTE 망내 52</t>
    <phoneticPr fontId="3" type="noConversion"/>
  </si>
  <si>
    <t>LTE 데이터 무한자유 110</t>
    <phoneticPr fontId="3" type="noConversion"/>
  </si>
  <si>
    <t>LTE 데이터 무한자유 130</t>
    <phoneticPr fontId="3" type="noConversion"/>
  </si>
  <si>
    <t>LTE 데이터 무한자유 95</t>
    <phoneticPr fontId="3" type="noConversion"/>
  </si>
  <si>
    <r>
      <t xml:space="preserve">Single LTE
</t>
    </r>
    <r>
      <rPr>
        <b/>
        <sz val="8"/>
        <color theme="1"/>
        <rFont val="맑은 고딕"/>
        <family val="3"/>
        <charset val="129"/>
        <scheme val="minor"/>
      </rPr>
      <t xml:space="preserve">망내무제한요금제
</t>
    </r>
    <r>
      <rPr>
        <b/>
        <sz val="9"/>
        <color rgb="FFFF0000"/>
        <rFont val="맑은 고딕"/>
        <family val="3"/>
        <charset val="129"/>
        <scheme val="minor"/>
      </rPr>
      <t>(100% LTE)</t>
    </r>
    <phoneticPr fontId="3" type="noConversion"/>
  </si>
  <si>
    <t>LTE 선택형 통화 100분</t>
    <phoneticPr fontId="3" type="noConversion"/>
  </si>
  <si>
    <r>
      <rPr>
        <b/>
        <sz val="9"/>
        <color rgb="FFFF0000"/>
        <rFont val="맑은 고딕"/>
        <family val="3"/>
        <charset val="129"/>
        <scheme val="minor"/>
      </rPr>
      <t>LTE 선택형요금제</t>
    </r>
    <r>
      <rPr>
        <sz val="9"/>
        <color theme="1"/>
        <rFont val="맑은 고딕"/>
        <family val="3"/>
        <charset val="129"/>
        <scheme val="minor"/>
      </rPr>
      <t>인 경우 문자개수 선택</t>
    </r>
    <phoneticPr fontId="3" type="noConversion"/>
  </si>
  <si>
    <t>LTE 선택형 통화 200분</t>
  </si>
  <si>
    <t>LTE 선택형 통화 200분</t>
    <phoneticPr fontId="3" type="noConversion"/>
  </si>
  <si>
    <t>LTE 선택형 통화 300분</t>
    <phoneticPr fontId="3" type="noConversion"/>
  </si>
  <si>
    <t>LTE 선택형 통화 400분</t>
    <phoneticPr fontId="3" type="noConversion"/>
  </si>
  <si>
    <t>LTE 선택형
통화 100분</t>
    <phoneticPr fontId="3" type="noConversion"/>
  </si>
  <si>
    <t>LTE 선택형
통화 200분</t>
    <phoneticPr fontId="3" type="noConversion"/>
  </si>
  <si>
    <t>LTE 선택형
통화 300분</t>
    <phoneticPr fontId="3" type="noConversion"/>
  </si>
  <si>
    <t>LTE 선택형
통화 400분</t>
    <phoneticPr fontId="3" type="noConversion"/>
  </si>
  <si>
    <t>* LTE 요금제 및 LTE 부가상품 가입 시 제공되는 데이터 용량은 3G와 4G(LTE)구분 없이 각 N/W 제공 가능 범위에 따라 제공됩니다.</t>
    <phoneticPr fontId="3" type="noConversion"/>
  </si>
  <si>
    <r>
      <rPr>
        <b/>
        <sz val="9"/>
        <color theme="1"/>
        <rFont val="맑은 고딕"/>
        <family val="3"/>
        <charset val="129"/>
        <scheme val="minor"/>
      </rPr>
      <t>LTE 데이터안심 
요금제</t>
    </r>
    <r>
      <rPr>
        <b/>
        <sz val="9"/>
        <color rgb="FF0070C0"/>
        <rFont val="맑은 고딕"/>
        <family val="3"/>
        <charset val="129"/>
        <scheme val="minor"/>
      </rPr>
      <t xml:space="preserve">
(신규가입불가)</t>
    </r>
    <phoneticPr fontId="3" type="noConversion"/>
  </si>
  <si>
    <t>LTE 데이터안심 55</t>
    <phoneticPr fontId="3" type="noConversion"/>
  </si>
  <si>
    <t>LTE 데이터안심 65</t>
    <phoneticPr fontId="3" type="noConversion"/>
  </si>
  <si>
    <t>LTE 데이터안심 75</t>
    <phoneticPr fontId="3" type="noConversion"/>
  </si>
  <si>
    <r>
      <rPr>
        <b/>
        <sz val="9"/>
        <color theme="1"/>
        <rFont val="맑은 고딕"/>
        <family val="3"/>
        <charset val="129"/>
        <scheme val="minor"/>
      </rPr>
      <t>LTE 데이터 
무한자유 요금제</t>
    </r>
    <r>
      <rPr>
        <b/>
        <sz val="9"/>
        <color rgb="FF0070C0"/>
        <rFont val="맑은 고딕"/>
        <family val="3"/>
        <charset val="129"/>
        <scheme val="minor"/>
      </rPr>
      <t xml:space="preserve">
(신규가입불가?)</t>
    </r>
    <phoneticPr fontId="3" type="noConversion"/>
  </si>
  <si>
    <t>추천순위에 선택형형 요금제는 하나씩나열하기</t>
    <phoneticPr fontId="3" type="noConversion"/>
  </si>
  <si>
    <r>
      <t xml:space="preserve">* </t>
    </r>
    <r>
      <rPr>
        <b/>
        <sz val="10"/>
        <color rgb="FFFF0000"/>
        <rFont val="맑은 고딕"/>
        <family val="3"/>
        <charset val="129"/>
        <scheme val="minor"/>
      </rPr>
      <t>노란색 배경의 셀만 입력 가능</t>
    </r>
    <r>
      <rPr>
        <sz val="10"/>
        <color theme="1"/>
        <rFont val="맑은 고딕"/>
        <family val="3"/>
        <charset val="129"/>
        <scheme val="minor"/>
      </rPr>
      <t>합니다.</t>
    </r>
    <phoneticPr fontId="3" type="noConversion"/>
  </si>
  <si>
    <r>
      <t xml:space="preserve">* 기본요금, 통화와 문자의 추가사용료로 계산이 됩니다. </t>
    </r>
    <r>
      <rPr>
        <b/>
        <sz val="10"/>
        <color rgb="FFFF0000"/>
        <rFont val="맑은 고딕"/>
        <family val="3"/>
        <charset val="129"/>
        <scheme val="minor"/>
      </rPr>
      <t>데이터이용량</t>
    </r>
    <r>
      <rPr>
        <sz val="10"/>
        <color theme="1"/>
        <rFont val="맑은 고딕"/>
        <family val="3"/>
        <charset val="129"/>
        <scheme val="minor"/>
      </rPr>
      <t xml:space="preserve">에 관한 </t>
    </r>
    <r>
      <rPr>
        <b/>
        <sz val="10"/>
        <color rgb="FFFF0000"/>
        <rFont val="맑은 고딕"/>
        <family val="3"/>
        <charset val="129"/>
        <scheme val="minor"/>
      </rPr>
      <t>옵션을 추가</t>
    </r>
    <r>
      <rPr>
        <sz val="10"/>
        <color theme="1"/>
        <rFont val="맑은 고딕"/>
        <family val="3"/>
        <charset val="129"/>
        <scheme val="minor"/>
      </rPr>
      <t>했습니다.(데이터 추가사용에 대한 비용은 계산되지 않았습니다.)</t>
    </r>
    <phoneticPr fontId="3" type="noConversion"/>
  </si>
  <si>
    <r>
      <t xml:space="preserve">* 데이터가 부족하시면 </t>
    </r>
    <r>
      <rPr>
        <b/>
        <sz val="10"/>
        <color rgb="FFFF0000"/>
        <rFont val="맑은 고딕"/>
        <family val="3"/>
        <charset val="129"/>
        <scheme val="minor"/>
      </rPr>
      <t>데이터가 많은 요금제를 선택</t>
    </r>
    <r>
      <rPr>
        <sz val="10"/>
        <rFont val="맑은 고딕"/>
        <family val="3"/>
        <charset val="129"/>
        <scheme val="minor"/>
      </rPr>
      <t>하시거나</t>
    </r>
    <r>
      <rPr>
        <b/>
        <sz val="10"/>
        <color rgb="FFFF0000"/>
        <rFont val="맑은 고딕"/>
        <family val="3"/>
        <charset val="129"/>
        <scheme val="minor"/>
      </rPr>
      <t xml:space="preserve"> 데이터 관련부가서비스를 </t>
    </r>
    <r>
      <rPr>
        <b/>
        <sz val="10"/>
        <color rgb="FF0070C0"/>
        <rFont val="맑은 고딕"/>
        <family val="3"/>
        <charset val="129"/>
        <scheme val="minor"/>
      </rPr>
      <t xml:space="preserve">반드시 </t>
    </r>
    <r>
      <rPr>
        <b/>
        <sz val="10"/>
        <color rgb="FFFF0000"/>
        <rFont val="맑은 고딕"/>
        <family val="3"/>
        <charset val="129"/>
        <scheme val="minor"/>
      </rPr>
      <t>이용</t>
    </r>
    <r>
      <rPr>
        <sz val="10"/>
        <color theme="1"/>
        <rFont val="맑은 고딕"/>
        <family val="3"/>
        <charset val="129"/>
        <scheme val="minor"/>
      </rPr>
      <t>하여야 합니다.</t>
    </r>
    <phoneticPr fontId="3" type="noConversion"/>
  </si>
  <si>
    <t>기본사항 입력</t>
    <phoneticPr fontId="3" type="noConversion"/>
  </si>
  <si>
    <t>할인종류 및 선택나열옵션 입력</t>
    <phoneticPr fontId="3" type="noConversion"/>
  </si>
  <si>
    <t>평균 국내음성 사용시간(분)</t>
    <phoneticPr fontId="3" type="noConversion"/>
  </si>
  <si>
    <t>T끼리 온가족 요금할인(%)</t>
    <phoneticPr fontId="3" type="noConversion"/>
  </si>
  <si>
    <r>
      <t xml:space="preserve">SK텔레콤 고객간 </t>
    </r>
    <r>
      <rPr>
        <b/>
        <sz val="10"/>
        <color theme="1"/>
        <rFont val="맑은 고딕"/>
        <family val="3"/>
        <charset val="129"/>
        <scheme val="minor"/>
      </rPr>
      <t>발신통화비중</t>
    </r>
    <r>
      <rPr>
        <sz val="10"/>
        <color theme="1"/>
        <rFont val="맑은 고딕"/>
        <family val="2"/>
        <charset val="129"/>
        <scheme val="minor"/>
      </rPr>
      <t>(%)</t>
    </r>
    <phoneticPr fontId="3" type="noConversion"/>
  </si>
  <si>
    <t>LTE PLUS 약정할인(24개월)</t>
    <phoneticPr fontId="3" type="noConversion"/>
  </si>
  <si>
    <t>문자(SMS) 이용건수</t>
    <phoneticPr fontId="3" type="noConversion"/>
  </si>
  <si>
    <t>복지할인(35%)</t>
    <phoneticPr fontId="3" type="noConversion"/>
  </si>
  <si>
    <t>데이터 이용량(MB)</t>
    <phoneticPr fontId="3" type="noConversion"/>
  </si>
  <si>
    <r>
      <rPr>
        <b/>
        <sz val="9"/>
        <color rgb="FFFF0000"/>
        <rFont val="맑은 고딕"/>
        <family val="3"/>
        <charset val="129"/>
        <scheme val="minor"/>
      </rPr>
      <t>LTE 맞춤형요금제</t>
    </r>
    <r>
      <rPr>
        <sz val="9"/>
        <color theme="1"/>
        <rFont val="맑은 고딕"/>
        <family val="3"/>
        <charset val="129"/>
        <scheme val="minor"/>
      </rPr>
      <t>인 경우 문자개수 선택</t>
    </r>
    <phoneticPr fontId="3" type="noConversion"/>
  </si>
  <si>
    <t>추천순위에 맞춤형 요금제당 하나씩나열하기</t>
    <phoneticPr fontId="3" type="noConversion"/>
  </si>
  <si>
    <t>실제요금이 같더라도(즉 동순위이더라도) 윗쪽에 먼저 나열되면 순위가 더 높습니다.</t>
    <phoneticPr fontId="3" type="noConversion"/>
  </si>
  <si>
    <t>추천
요금제</t>
    <phoneticPr fontId="3" type="noConversion"/>
  </si>
  <si>
    <t>통화시간(분)</t>
    <phoneticPr fontId="3" type="noConversion"/>
  </si>
  <si>
    <t>문자</t>
    <phoneticPr fontId="3" type="noConversion"/>
  </si>
  <si>
    <t>데이터(MB)</t>
    <phoneticPr fontId="3" type="noConversion"/>
  </si>
  <si>
    <t>기본요금</t>
    <phoneticPr fontId="3" type="noConversion"/>
  </si>
  <si>
    <t>음성추가 통화료
(부가세미포함)</t>
    <phoneticPr fontId="3" type="noConversion"/>
  </si>
  <si>
    <t>문자추가비
(부가세미포함)</t>
    <phoneticPr fontId="3" type="noConversion"/>
  </si>
  <si>
    <t>데이터</t>
    <phoneticPr fontId="3" type="noConversion"/>
  </si>
  <si>
    <t>차이</t>
    <phoneticPr fontId="3" type="noConversion"/>
  </si>
  <si>
    <t>(부가세포함)</t>
    <phoneticPr fontId="3" type="noConversion"/>
  </si>
  <si>
    <t>rank</t>
    <phoneticPr fontId="3" type="noConversion"/>
  </si>
  <si>
    <t>그룹</t>
    <phoneticPr fontId="3" type="noConversion"/>
  </si>
  <si>
    <t>그룹+데이터</t>
    <phoneticPr fontId="3" type="noConversion"/>
  </si>
  <si>
    <t>최종</t>
    <phoneticPr fontId="3" type="noConversion"/>
  </si>
  <si>
    <t>T끼리 35</t>
    <phoneticPr fontId="3" type="noConversion"/>
  </si>
  <si>
    <t>무제한</t>
    <phoneticPr fontId="3" type="noConversion"/>
  </si>
  <si>
    <t>T끼리
망내무제한</t>
    <phoneticPr fontId="3" type="noConversion"/>
  </si>
  <si>
    <t>T끼리 45</t>
    <phoneticPr fontId="3" type="noConversion"/>
  </si>
  <si>
    <t>T끼리 55</t>
    <phoneticPr fontId="3" type="noConversion"/>
  </si>
  <si>
    <t>T끼리 65</t>
    <phoneticPr fontId="3" type="noConversion"/>
  </si>
  <si>
    <t>무제한(무선)</t>
    <phoneticPr fontId="3" type="noConversion"/>
  </si>
  <si>
    <t>무제한(유무선)</t>
    <phoneticPr fontId="3" type="noConversion"/>
  </si>
  <si>
    <t>LTE 34</t>
    <phoneticPr fontId="3" type="noConversion"/>
  </si>
  <si>
    <r>
      <rPr>
        <sz val="9"/>
        <color rgb="FFFF0000"/>
        <rFont val="맑은 고딕"/>
        <family val="3"/>
        <charset val="129"/>
        <scheme val="minor"/>
      </rPr>
      <t>LTE
기본요금제</t>
    </r>
    <r>
      <rPr>
        <sz val="9"/>
        <color theme="1"/>
        <rFont val="맑은 고딕"/>
        <family val="3"/>
        <charset val="129"/>
        <scheme val="minor"/>
      </rPr>
      <t xml:space="preserve">
망내통화는
요금부과</t>
    </r>
    <phoneticPr fontId="3" type="noConversion"/>
  </si>
  <si>
    <t>LTE 42</t>
    <phoneticPr fontId="3" type="noConversion"/>
  </si>
  <si>
    <t>LTE 52</t>
    <phoneticPr fontId="3" type="noConversion"/>
  </si>
  <si>
    <t>LTE 85</t>
    <phoneticPr fontId="3" type="noConversion"/>
  </si>
  <si>
    <t>LTE 100</t>
    <phoneticPr fontId="3" type="noConversion"/>
  </si>
  <si>
    <t>T끼리 맞춤형 망외 100분</t>
    <phoneticPr fontId="3" type="noConversion"/>
  </si>
  <si>
    <r>
      <t xml:space="preserve">T끼리 맞춤형
망내무제한
</t>
    </r>
    <r>
      <rPr>
        <sz val="9"/>
        <color rgb="FFFF0000"/>
        <rFont val="맑은 고딕"/>
        <family val="3"/>
        <charset val="129"/>
        <scheme val="minor"/>
      </rPr>
      <t>망외통화 100분</t>
    </r>
    <phoneticPr fontId="3" type="noConversion"/>
  </si>
  <si>
    <t>T끼리 맞춤형 망외 150분</t>
    <phoneticPr fontId="3" type="noConversion"/>
  </si>
  <si>
    <r>
      <t xml:space="preserve">T끼리 맞춤형
망내무제한
</t>
    </r>
    <r>
      <rPr>
        <sz val="9"/>
        <color rgb="FFFF0000"/>
        <rFont val="맑은 고딕"/>
        <family val="3"/>
        <charset val="129"/>
        <scheme val="minor"/>
      </rPr>
      <t>망외통화 150분</t>
    </r>
    <phoneticPr fontId="3" type="noConversion"/>
  </si>
  <si>
    <t>T끼리 맞춤형 망외 200분</t>
    <phoneticPr fontId="3" type="noConversion"/>
  </si>
  <si>
    <r>
      <t xml:space="preserve">T끼리 맞춤형
망내무제한
</t>
    </r>
    <r>
      <rPr>
        <sz val="9"/>
        <color rgb="FFFF0000"/>
        <rFont val="맑은 고딕"/>
        <family val="3"/>
        <charset val="129"/>
        <scheme val="minor"/>
      </rPr>
      <t>망외통화 200분</t>
    </r>
    <phoneticPr fontId="3" type="noConversion"/>
  </si>
  <si>
    <t>T끼리 맞춤형무제한(무선)</t>
    <phoneticPr fontId="3" type="noConversion"/>
  </si>
  <si>
    <r>
      <t xml:space="preserve">T끼리 맞춤형
</t>
    </r>
    <r>
      <rPr>
        <sz val="9"/>
        <color rgb="FFFF0000"/>
        <rFont val="맑은 고딕"/>
        <family val="3"/>
        <charset val="129"/>
        <scheme val="minor"/>
      </rPr>
      <t>무제한(무선)
부가통화 200분</t>
    </r>
    <phoneticPr fontId="3" type="noConversion"/>
  </si>
  <si>
    <t>T끼리 맞춤형무제한(유무선)</t>
    <phoneticPr fontId="3" type="noConversion"/>
  </si>
  <si>
    <r>
      <t xml:space="preserve">T끼리 맞춤형
</t>
    </r>
    <r>
      <rPr>
        <sz val="9"/>
        <color rgb="FFFF0000"/>
        <rFont val="맑은 고딕"/>
        <family val="3"/>
        <charset val="129"/>
        <scheme val="minor"/>
      </rPr>
      <t>무제한(유무선)
부가통화 300분</t>
    </r>
    <phoneticPr fontId="3" type="noConversion"/>
  </si>
  <si>
    <t>LTE 맞춤형 통화 100분</t>
    <phoneticPr fontId="3" type="noConversion"/>
  </si>
  <si>
    <r>
      <t xml:space="preserve">LTE 맞춤형
망내요금부과
</t>
    </r>
    <r>
      <rPr>
        <sz val="9"/>
        <color rgb="FFFF0000"/>
        <rFont val="맑은 고딕"/>
        <family val="3"/>
        <charset val="129"/>
        <scheme val="minor"/>
      </rPr>
      <t>통화 100분</t>
    </r>
    <phoneticPr fontId="3" type="noConversion"/>
  </si>
  <si>
    <t>LTE 맞춤형 통화 200분</t>
    <phoneticPr fontId="3" type="noConversion"/>
  </si>
  <si>
    <r>
      <t xml:space="preserve">LTE 맞춤형
망내요금부과
</t>
    </r>
    <r>
      <rPr>
        <sz val="9"/>
        <color rgb="FFFF0000"/>
        <rFont val="맑은 고딕"/>
        <family val="3"/>
        <charset val="129"/>
        <scheme val="minor"/>
      </rPr>
      <t>통화 200분</t>
    </r>
    <phoneticPr fontId="3" type="noConversion"/>
  </si>
  <si>
    <t>LTE 맞춤형 통화 300분</t>
    <phoneticPr fontId="3" type="noConversion"/>
  </si>
  <si>
    <r>
      <t xml:space="preserve">LTE 맞춤형
망내요금부과
</t>
    </r>
    <r>
      <rPr>
        <sz val="9"/>
        <color rgb="FFFF0000"/>
        <rFont val="맑은 고딕"/>
        <family val="3"/>
        <charset val="129"/>
        <scheme val="minor"/>
      </rPr>
      <t>통화 300분</t>
    </r>
    <phoneticPr fontId="3" type="noConversion"/>
  </si>
  <si>
    <t>LTE 맞춤형 통화 400분</t>
    <phoneticPr fontId="3" type="noConversion"/>
  </si>
  <si>
    <r>
      <t xml:space="preserve">LTE 맞춤형
망내요금부과
</t>
    </r>
    <r>
      <rPr>
        <sz val="9"/>
        <color rgb="FFFF0000"/>
        <rFont val="맑은 고딕"/>
        <family val="3"/>
        <charset val="129"/>
        <scheme val="minor"/>
      </rPr>
      <t>통화 400분</t>
    </r>
    <phoneticPr fontId="3" type="noConversion"/>
  </si>
  <si>
    <r>
      <t xml:space="preserve">* </t>
    </r>
    <r>
      <rPr>
        <b/>
        <sz val="11"/>
        <color rgb="FFFF0000"/>
        <rFont val="맑은 고딕"/>
        <family val="3"/>
        <charset val="129"/>
        <scheme val="minor"/>
      </rPr>
      <t>Single LTE 망내 34/42/52</t>
    </r>
    <r>
      <rPr>
        <sz val="11"/>
        <color theme="1"/>
        <rFont val="맑은 고딕"/>
        <family val="3"/>
        <charset val="129"/>
        <scheme val="minor"/>
      </rPr>
      <t>는</t>
    </r>
    <r>
      <rPr>
        <b/>
        <sz val="11"/>
        <color rgb="FFFF0000"/>
        <rFont val="맑은 고딕"/>
        <family val="3"/>
        <charset val="129"/>
        <scheme val="minor"/>
      </rPr>
      <t xml:space="preserve"> Single LTE 단말기에 한해 가입 가능</t>
    </r>
    <phoneticPr fontId="3" type="noConversion"/>
  </si>
  <si>
    <r>
      <t xml:space="preserve">LTE Ultimate </t>
    </r>
    <r>
      <rPr>
        <b/>
        <sz val="9"/>
        <color theme="1"/>
        <rFont val="맑은 고딕"/>
        <family val="3"/>
        <charset val="129"/>
        <scheme val="minor"/>
      </rPr>
      <t>무한자유 124</t>
    </r>
    <phoneticPr fontId="3" type="noConversion"/>
  </si>
  <si>
    <r>
      <t xml:space="preserve">* </t>
    </r>
    <r>
      <rPr>
        <b/>
        <sz val="11"/>
        <color rgb="FFFF0000"/>
        <rFont val="맑은 고딕"/>
        <family val="3"/>
        <charset val="129"/>
        <scheme val="minor"/>
      </rPr>
      <t>LTE 데이터 안심 요금제</t>
    </r>
    <r>
      <rPr>
        <sz val="11"/>
        <color theme="1"/>
        <rFont val="맑은 고딕"/>
        <family val="3"/>
        <charset val="129"/>
        <scheme val="minor"/>
      </rPr>
      <t xml:space="preserve"> : 기본 제공량 이후</t>
    </r>
    <r>
      <rPr>
        <b/>
        <sz val="11"/>
        <color rgb="FFFF0000"/>
        <rFont val="맑은 고딕"/>
        <family val="3"/>
        <charset val="129"/>
        <scheme val="minor"/>
      </rPr>
      <t xml:space="preserve"> 400Kbps 속도로 데이터 무제한 사용</t>
    </r>
    <r>
      <rPr>
        <sz val="11"/>
        <color theme="1"/>
        <rFont val="맑은 고딕"/>
        <family val="3"/>
        <charset val="129"/>
        <scheme val="minor"/>
      </rPr>
      <t>(</t>
    </r>
    <r>
      <rPr>
        <b/>
        <sz val="11"/>
        <color rgb="FFEC008C"/>
        <rFont val="맑은 고딕"/>
        <family val="3"/>
        <charset val="129"/>
        <scheme val="minor"/>
      </rPr>
      <t>신규가입불가</t>
    </r>
    <r>
      <rPr>
        <sz val="11"/>
        <color theme="1"/>
        <rFont val="맑은 고딕"/>
        <family val="3"/>
        <charset val="129"/>
        <scheme val="minor"/>
      </rPr>
      <t>)</t>
    </r>
    <phoneticPr fontId="3" type="noConversion"/>
  </si>
  <si>
    <r>
      <t xml:space="preserve">* </t>
    </r>
    <r>
      <rPr>
        <b/>
        <sz val="11"/>
        <color rgb="FFFF0000"/>
        <rFont val="맑은 고딕"/>
        <family val="3"/>
        <charset val="129"/>
        <scheme val="minor"/>
      </rPr>
      <t>LTE 데이터 무한자유 요금제</t>
    </r>
    <r>
      <rPr>
        <sz val="11"/>
        <color theme="1"/>
        <rFont val="맑은 고딕"/>
        <family val="3"/>
        <charset val="129"/>
        <scheme val="minor"/>
      </rPr>
      <t xml:space="preserve">는 기본 제공량 소진 이후 </t>
    </r>
    <r>
      <rPr>
        <b/>
        <sz val="11"/>
        <color rgb="FFFF0000"/>
        <rFont val="맑은 고딕"/>
        <family val="3"/>
        <charset val="129"/>
        <scheme val="minor"/>
      </rPr>
      <t>일 3GB 초과 사용 시 2Mbps로 속도 제어</t>
    </r>
    <r>
      <rPr>
        <sz val="11"/>
        <color theme="1"/>
        <rFont val="맑은 고딕"/>
        <family val="3"/>
        <charset val="129"/>
        <scheme val="minor"/>
      </rPr>
      <t>(</t>
    </r>
    <r>
      <rPr>
        <b/>
        <sz val="11"/>
        <color rgb="FFEC008C"/>
        <rFont val="맑은 고딕"/>
        <family val="3"/>
        <charset val="129"/>
        <scheme val="minor"/>
      </rPr>
      <t>신규가입불가?</t>
    </r>
    <r>
      <rPr>
        <sz val="11"/>
        <color theme="1"/>
        <rFont val="맑은 고딕"/>
        <family val="3"/>
        <charset val="129"/>
        <scheme val="minor"/>
      </rPr>
      <t>)</t>
    </r>
    <phoneticPr fontId="3" type="noConversion"/>
  </si>
  <si>
    <t>* Single LTE 망내 34/42/52의 음성 요율은 1.7원/초(1.87원/초)</t>
    <phoneticPr fontId="3" type="noConversion"/>
  </si>
  <si>
    <r>
      <t>*</t>
    </r>
    <r>
      <rPr>
        <b/>
        <sz val="11"/>
        <color rgb="FFFF0000"/>
        <rFont val="맑은 고딕"/>
        <family val="3"/>
        <charset val="129"/>
        <scheme val="minor"/>
      </rPr>
      <t xml:space="preserve"> LTE Ultimate 124 요금제</t>
    </r>
    <r>
      <rPr>
        <sz val="11"/>
        <color theme="1"/>
        <rFont val="맑은 고딕"/>
        <family val="3"/>
        <charset val="129"/>
        <scheme val="minor"/>
      </rPr>
      <t xml:space="preserve">의 경우 25GB 사용 이후 </t>
    </r>
    <r>
      <rPr>
        <b/>
        <sz val="11"/>
        <color rgb="FFFF0000"/>
        <rFont val="맑은 고딕"/>
        <family val="3"/>
        <charset val="129"/>
        <scheme val="minor"/>
      </rPr>
      <t>일 1GB 초과 시 2Mbps의 속도제한</t>
    </r>
    <r>
      <rPr>
        <sz val="11"/>
        <color theme="1"/>
        <rFont val="맑은 고딕"/>
        <family val="3"/>
        <charset val="129"/>
        <scheme val="minor"/>
      </rPr>
      <t xml:space="preserve"> 적용</t>
    </r>
    <phoneticPr fontId="3" type="noConversion"/>
  </si>
  <si>
    <r>
      <t>*</t>
    </r>
    <r>
      <rPr>
        <b/>
        <sz val="11"/>
        <color rgb="FFFF0000"/>
        <rFont val="맑은 고딕"/>
        <family val="3"/>
        <charset val="129"/>
        <scheme val="minor"/>
      </rPr>
      <t xml:space="preserve"> LTE 음성무한자유요금제</t>
    </r>
    <r>
      <rPr>
        <sz val="11"/>
        <color theme="1"/>
        <rFont val="맑은 고딕"/>
        <family val="2"/>
        <charset val="129"/>
        <scheme val="minor"/>
      </rPr>
      <t xml:space="preserve"> : 기본 제공량 외 3GB를 초과하는 경우 데이터 속도를 자동 제한 (</t>
    </r>
    <r>
      <rPr>
        <b/>
        <sz val="11"/>
        <color rgb="FFFF0000"/>
        <rFont val="맑은 고딕"/>
        <family val="3"/>
        <charset val="129"/>
        <scheme val="minor"/>
      </rPr>
      <t>200Kbps 이하</t>
    </r>
    <r>
      <rPr>
        <sz val="11"/>
        <color theme="1"/>
        <rFont val="맑은 고딕"/>
        <family val="2"/>
        <charset val="129"/>
        <scheme val="minor"/>
      </rPr>
      <t>)</t>
    </r>
    <phoneticPr fontId="3" type="noConversion"/>
  </si>
  <si>
    <r>
      <t xml:space="preserve">* </t>
    </r>
    <r>
      <rPr>
        <b/>
        <sz val="11"/>
        <color rgb="FFFF0000"/>
        <rFont val="맑은 고딕"/>
        <family val="3"/>
        <charset val="129"/>
        <scheme val="minor"/>
      </rPr>
      <t>음성무한자유요금제 69/79</t>
    </r>
    <r>
      <rPr>
        <sz val="11"/>
        <rFont val="맑은 고딕"/>
        <family val="2"/>
        <charset val="129"/>
        <scheme val="minor"/>
      </rPr>
      <t xml:space="preserve">는 무선(010,011,016,017,018,019) 음성 무제한 (유선/영상/부가전화 전용 </t>
    </r>
    <r>
      <rPr>
        <b/>
        <sz val="11"/>
        <color rgb="FFFF0000"/>
        <rFont val="맑은 고딕"/>
        <family val="3"/>
        <charset val="129"/>
        <scheme val="minor"/>
      </rPr>
      <t>100분 추가 제공</t>
    </r>
    <r>
      <rPr>
        <sz val="11"/>
        <rFont val="맑은 고딕"/>
        <family val="2"/>
        <charset val="129"/>
        <scheme val="minor"/>
      </rPr>
      <t>)</t>
    </r>
    <phoneticPr fontId="3" type="noConversion"/>
  </si>
  <si>
    <r>
      <t xml:space="preserve">* </t>
    </r>
    <r>
      <rPr>
        <b/>
        <sz val="11"/>
        <color rgb="FFFF0000"/>
        <rFont val="맑은 고딕"/>
        <family val="3"/>
        <charset val="129"/>
        <scheme val="minor"/>
      </rPr>
      <t>음성무한자유요금제 89/99/124</t>
    </r>
    <r>
      <rPr>
        <sz val="11"/>
        <rFont val="맑은 고딕"/>
        <family val="3"/>
        <charset val="129"/>
        <scheme val="minor"/>
      </rPr>
      <t xml:space="preserve">는 유무선(070 포함) 음성 무제한 (영상/부가전화 전용 </t>
    </r>
    <r>
      <rPr>
        <b/>
        <sz val="11"/>
        <color rgb="FFFF0000"/>
        <rFont val="맑은 고딕"/>
        <family val="3"/>
        <charset val="129"/>
        <scheme val="minor"/>
      </rPr>
      <t>50분 추가 제공</t>
    </r>
    <r>
      <rPr>
        <sz val="11"/>
        <rFont val="맑은 고딕"/>
        <family val="3"/>
        <charset val="129"/>
        <scheme val="minor"/>
      </rPr>
      <t>)</t>
    </r>
    <phoneticPr fontId="3" type="noConversion"/>
  </si>
  <si>
    <t>LTE선택형 통화100분 문자100건</t>
  </si>
  <si>
    <t>LTE선택형 통화100분 문자100건</t>
    <phoneticPr fontId="3" type="noConversion"/>
  </si>
  <si>
    <t>LTE선택형 통화180분 문자180건</t>
  </si>
  <si>
    <t>LTE선택형 통화180분 문자180건</t>
    <phoneticPr fontId="3" type="noConversion"/>
  </si>
  <si>
    <t>LTE선택형 통화300분 문자300건</t>
  </si>
  <si>
    <t>LTE선택형 통화300분 문자300건</t>
    <phoneticPr fontId="3" type="noConversion"/>
  </si>
  <si>
    <t>LTE선택형 통화400분 문자400건</t>
  </si>
  <si>
    <t>LTE선택형 통화400분 문자400건</t>
    <phoneticPr fontId="3" type="noConversion"/>
  </si>
  <si>
    <t>유무선 통화 문자 무제한</t>
    <phoneticPr fontId="3" type="noConversion"/>
  </si>
  <si>
    <r>
      <t xml:space="preserve">LTE 선택형
</t>
    </r>
    <r>
      <rPr>
        <b/>
        <sz val="9"/>
        <color rgb="FFFF0000"/>
        <rFont val="맑은 고딕"/>
        <family val="3"/>
        <charset val="129"/>
        <scheme val="minor"/>
      </rPr>
      <t>통화100분
문자100건</t>
    </r>
    <phoneticPr fontId="3" type="noConversion"/>
  </si>
  <si>
    <r>
      <t xml:space="preserve">LTE 선택형
</t>
    </r>
    <r>
      <rPr>
        <b/>
        <sz val="9"/>
        <color rgb="FFFF0000"/>
        <rFont val="맑은 고딕"/>
        <family val="3"/>
        <charset val="129"/>
        <scheme val="minor"/>
      </rPr>
      <t>통화180분
문자180건</t>
    </r>
    <phoneticPr fontId="3" type="noConversion"/>
  </si>
  <si>
    <r>
      <t xml:space="preserve">LTE 선택형
</t>
    </r>
    <r>
      <rPr>
        <b/>
        <sz val="9"/>
        <color rgb="FFFF0000"/>
        <rFont val="맑은 고딕"/>
        <family val="3"/>
        <charset val="129"/>
        <scheme val="minor"/>
      </rPr>
      <t>통화300분
문자300건</t>
    </r>
    <phoneticPr fontId="3" type="noConversion"/>
  </si>
  <si>
    <r>
      <t xml:space="preserve">LTE 선택형
</t>
    </r>
    <r>
      <rPr>
        <b/>
        <sz val="9"/>
        <color rgb="FFFF0000"/>
        <rFont val="맑은 고딕"/>
        <family val="3"/>
        <charset val="129"/>
        <scheme val="minor"/>
      </rPr>
      <t>통화400분
문자400건</t>
    </r>
    <phoneticPr fontId="3" type="noConversion"/>
  </si>
  <si>
    <r>
      <rPr>
        <b/>
        <sz val="11"/>
        <color rgb="FF7030A0"/>
        <rFont val="맑은 고딕"/>
        <family val="3"/>
        <charset val="129"/>
        <scheme val="minor"/>
      </rPr>
      <t>광대역
안심무한</t>
    </r>
    <r>
      <rPr>
        <b/>
        <sz val="9"/>
        <color theme="1"/>
        <rFont val="맑은 고딕"/>
        <family val="3"/>
        <charset val="129"/>
        <scheme val="minor"/>
      </rPr>
      <t xml:space="preserve">
</t>
    </r>
    <r>
      <rPr>
        <b/>
        <sz val="8"/>
        <color theme="1"/>
        <rFont val="맑은 고딕"/>
        <family val="3"/>
        <charset val="129"/>
        <scheme val="minor"/>
      </rPr>
      <t>15GB+400Kbps</t>
    </r>
    <phoneticPr fontId="3" type="noConversion"/>
  </si>
  <si>
    <r>
      <t xml:space="preserve">LTE 선택형
</t>
    </r>
    <r>
      <rPr>
        <b/>
        <sz val="9"/>
        <color rgb="FFFF0000"/>
        <rFont val="맑은 고딕"/>
        <family val="3"/>
        <charset val="129"/>
        <scheme val="minor"/>
      </rPr>
      <t>유무선 무제한
문자무제한</t>
    </r>
    <phoneticPr fontId="3" type="noConversion"/>
  </si>
  <si>
    <t>LTE8 무한대 80</t>
    <phoneticPr fontId="3" type="noConversion"/>
  </si>
  <si>
    <t>LTE8 무한대 85</t>
    <phoneticPr fontId="3" type="noConversion"/>
  </si>
  <si>
    <r>
      <rPr>
        <b/>
        <sz val="9"/>
        <color theme="1"/>
        <rFont val="맑은 고딕"/>
        <family val="3"/>
        <charset val="129"/>
        <scheme val="minor"/>
      </rPr>
      <t>LTE8 무한대</t>
    </r>
    <r>
      <rPr>
        <sz val="9"/>
        <color theme="1"/>
        <rFont val="맑은 고딕"/>
        <family val="2"/>
        <charset val="129"/>
        <scheme val="minor"/>
      </rPr>
      <t xml:space="preserve">
일 사용량 2GB
+QoS 3Mbps</t>
    </r>
    <phoneticPr fontId="3" type="noConversion"/>
  </si>
  <si>
    <t>문자갯수</t>
    <phoneticPr fontId="3" type="noConversion"/>
  </si>
  <si>
    <t>가격</t>
    <phoneticPr fontId="3" type="noConversion"/>
  </si>
  <si>
    <t>문자추가비
(부가세미포함)</t>
    <phoneticPr fontId="3" type="noConversion"/>
  </si>
  <si>
    <t>금액</t>
    <phoneticPr fontId="3" type="noConversion"/>
  </si>
  <si>
    <r>
      <t>*</t>
    </r>
    <r>
      <rPr>
        <b/>
        <sz val="11"/>
        <color theme="1"/>
        <rFont val="맑은 고딕"/>
        <family val="3"/>
        <charset val="129"/>
        <scheme val="minor"/>
      </rPr>
      <t xml:space="preserve"> </t>
    </r>
    <r>
      <rPr>
        <b/>
        <sz val="11"/>
        <color rgb="FFFF0000"/>
        <rFont val="맑은 고딕"/>
        <family val="3"/>
        <charset val="129"/>
        <scheme val="minor"/>
      </rPr>
      <t>LTE8 무한대 80,85요금제</t>
    </r>
    <r>
      <rPr>
        <sz val="11"/>
        <color theme="1"/>
        <rFont val="맑은 고딕"/>
        <family val="2"/>
        <charset val="129"/>
        <scheme val="minor"/>
      </rPr>
      <t xml:space="preserve"> 음성 : 유선/부가/영상 통화는 별도 무료 제공량 100분 제공</t>
    </r>
    <phoneticPr fontId="3" type="noConversion"/>
  </si>
  <si>
    <r>
      <t xml:space="preserve">    1) 데이터 : </t>
    </r>
    <r>
      <rPr>
        <b/>
        <sz val="11"/>
        <color rgb="FFFF0000"/>
        <rFont val="맑은 고딕"/>
        <family val="3"/>
        <charset val="129"/>
        <scheme val="minor"/>
      </rPr>
      <t>일 사용량 2GB 초과 시 QoS 3Mbps</t>
    </r>
    <r>
      <rPr>
        <sz val="11"/>
        <color theme="1"/>
        <rFont val="맑은 고딕"/>
        <family val="2"/>
        <charset val="129"/>
        <scheme val="minor"/>
      </rPr>
      <t>(모바일TV, HD뮤직 스트리밍 등 모든 LTE서비스이용 가능),테더링은 일 2GB 내에서 허용, 데이터 쉐어링은 미제공</t>
    </r>
    <phoneticPr fontId="3" type="noConversion"/>
  </si>
  <si>
    <t xml:space="preserve">    2) LTE8 무한대 85요금제 무료제공 부가서비스 : U+HDTV, U+프로야구</t>
    <phoneticPr fontId="3" type="noConversion"/>
  </si>
  <si>
    <t>뭉올 할인은 
오류가 
있을수 있음</t>
    <phoneticPr fontId="3" type="noConversion"/>
  </si>
  <si>
    <t>LTE 전국민 무한 69</t>
    <phoneticPr fontId="3" type="noConversion"/>
  </si>
  <si>
    <t>LTE전국민무한75+안심옵션</t>
    <phoneticPr fontId="3" type="noConversion"/>
  </si>
  <si>
    <t>LTE 전국민 무한 85</t>
    <phoneticPr fontId="3" type="noConversion"/>
  </si>
  <si>
    <t>LTE 전국민 무한 100</t>
    <phoneticPr fontId="3" type="noConversion"/>
  </si>
  <si>
    <t>LTE 데이터 
무제한요금제</t>
    <phoneticPr fontId="3" type="noConversion"/>
  </si>
  <si>
    <t xml:space="preserve">    1) 세 요금제 모두 부가음성 300분 제공</t>
    <phoneticPr fontId="3" type="noConversion"/>
  </si>
  <si>
    <t xml:space="preserve">    2) 추가혜택 : 무한 멤버십, B tv 모바일, T스포츠, T cloud (20GB), T map,T wifi zone 데이터 함께쓰기 이용 가능</t>
    <phoneticPr fontId="3" type="noConversion"/>
  </si>
  <si>
    <r>
      <t>*</t>
    </r>
    <r>
      <rPr>
        <b/>
        <sz val="11"/>
        <color rgb="FFFF0000"/>
        <rFont val="맑은 고딕"/>
        <family val="3"/>
        <charset val="129"/>
        <scheme val="minor"/>
      </rPr>
      <t xml:space="preserve"> LTE 데이터 무제한요금제( LTE 전국민무한 75/85/100</t>
    </r>
    <r>
      <rPr>
        <sz val="11"/>
        <color theme="1"/>
        <rFont val="맑은 고딕"/>
        <family val="2"/>
        <charset val="129"/>
        <scheme val="minor"/>
      </rPr>
      <t xml:space="preserve"> )는 기본제공 데이터가 각각 </t>
    </r>
    <r>
      <rPr>
        <b/>
        <sz val="11"/>
        <color rgb="FFFF0000"/>
        <rFont val="맑은 고딕"/>
        <family val="3"/>
        <charset val="129"/>
        <scheme val="minor"/>
      </rPr>
      <t>8GB, 12GB,16GB</t>
    </r>
    <r>
      <rPr>
        <sz val="11"/>
        <color theme="1"/>
        <rFont val="맑은 고딕"/>
        <family val="2"/>
        <charset val="129"/>
        <scheme val="minor"/>
      </rPr>
      <t xml:space="preserve"> 이며 기본 제공량 소진 후 데이터 무제한</t>
    </r>
    <phoneticPr fontId="3" type="noConversion"/>
  </si>
  <si>
    <r>
      <t xml:space="preserve">   (단, </t>
    </r>
    <r>
      <rPr>
        <b/>
        <sz val="11"/>
        <color rgb="FFFF0000"/>
        <rFont val="맑은 고딕"/>
        <family val="3"/>
        <charset val="129"/>
        <scheme val="minor"/>
      </rPr>
      <t>일2GB 상한 이후 망 상황에 따라 속도 제어</t>
    </r>
    <r>
      <rPr>
        <sz val="11"/>
        <color theme="1"/>
        <rFont val="맑은 고딕"/>
        <family val="2"/>
        <charset val="129"/>
        <scheme val="minor"/>
      </rPr>
      <t>되며, 제어되더라도 최대 3Mbps 속도로 이용 가능)</t>
    </r>
    <phoneticPr fontId="3" type="noConversion"/>
  </si>
  <si>
    <t>광대역 안심무한 67</t>
    <phoneticPr fontId="3" type="noConversion"/>
  </si>
  <si>
    <t>광대역 안심무한 73.5</t>
    <phoneticPr fontId="3" type="noConversion"/>
  </si>
  <si>
    <t>광대역 안심무한 77</t>
    <phoneticPr fontId="3" type="noConversion"/>
  </si>
  <si>
    <t>광대역 안심무한 84.5</t>
    <phoneticPr fontId="3" type="noConversion"/>
  </si>
  <si>
    <t>광대역 안심무한 100</t>
    <phoneticPr fontId="3" type="noConversion"/>
  </si>
  <si>
    <t>완전무한 79</t>
    <phoneticPr fontId="3" type="noConversion"/>
  </si>
  <si>
    <r>
      <t>완전무한 
요금제</t>
    </r>
    <r>
      <rPr>
        <b/>
        <sz val="9"/>
        <color rgb="FFFF0000"/>
        <rFont val="맑은 고딕"/>
        <family val="3"/>
        <charset val="129"/>
        <scheme val="minor"/>
      </rPr>
      <t xml:space="preserve">
유무선무제한</t>
    </r>
    <phoneticPr fontId="3" type="noConversion"/>
  </si>
  <si>
    <r>
      <t xml:space="preserve">완전무한요금제
</t>
    </r>
    <r>
      <rPr>
        <b/>
        <sz val="9"/>
        <color rgb="FFFF0000"/>
        <rFont val="맑은 고딕"/>
        <family val="3"/>
        <charset val="129"/>
        <scheme val="minor"/>
      </rPr>
      <t>데이터무제한</t>
    </r>
    <phoneticPr fontId="3" type="noConversion"/>
  </si>
  <si>
    <r>
      <t>*</t>
    </r>
    <r>
      <rPr>
        <b/>
        <sz val="10"/>
        <color rgb="FFFF0000"/>
        <rFont val="맑은 고딕"/>
        <family val="3"/>
        <charset val="129"/>
        <scheme val="minor"/>
      </rPr>
      <t xml:space="preserve"> LTE 550, 650, 750</t>
    </r>
    <r>
      <rPr>
        <sz val="10"/>
        <color theme="1"/>
        <rFont val="맑은 고딕"/>
        <family val="3"/>
        <charset val="129"/>
        <scheme val="minor"/>
      </rPr>
      <t xml:space="preserve"> 데이터 무제한 요금제는 기본제공 데이터 2.5, 6, 10GB이고 </t>
    </r>
    <r>
      <rPr>
        <b/>
        <sz val="10"/>
        <color rgb="FFFF0000"/>
        <rFont val="맑은 고딕"/>
        <family val="3"/>
        <charset val="129"/>
        <scheme val="minor"/>
      </rPr>
      <t>기본제공데이터를 넘을 경우 속도 400Kbps로 제한</t>
    </r>
    <r>
      <rPr>
        <sz val="10"/>
        <rFont val="맑은 고딕"/>
        <family val="3"/>
        <charset val="129"/>
        <scheme val="minor"/>
      </rPr>
      <t>됩</t>
    </r>
    <r>
      <rPr>
        <sz val="10"/>
        <color theme="1"/>
        <rFont val="맑은 고딕"/>
        <family val="3"/>
        <charset val="129"/>
        <scheme val="minor"/>
      </rPr>
      <t>니다.(</t>
    </r>
    <r>
      <rPr>
        <b/>
        <sz val="10"/>
        <color rgb="FF0070C0"/>
        <rFont val="맑은 고딕"/>
        <family val="3"/>
        <charset val="129"/>
        <scheme val="minor"/>
      </rPr>
      <t>신규가입불가</t>
    </r>
    <r>
      <rPr>
        <sz val="10"/>
        <color theme="1"/>
        <rFont val="맑은 고딕"/>
        <family val="3"/>
        <charset val="129"/>
        <scheme val="minor"/>
      </rPr>
      <t>)</t>
    </r>
    <phoneticPr fontId="3" type="noConversion"/>
  </si>
  <si>
    <r>
      <t>*</t>
    </r>
    <r>
      <rPr>
        <b/>
        <sz val="10"/>
        <color rgb="FFFF0000"/>
        <rFont val="맑은 고딕"/>
        <family val="3"/>
        <charset val="129"/>
        <scheme val="minor"/>
      </rPr>
      <t xml:space="preserve"> LTE 950, 1100, 1300</t>
    </r>
    <r>
      <rPr>
        <sz val="10"/>
        <color theme="1"/>
        <rFont val="맑은 고딕"/>
        <family val="3"/>
        <charset val="129"/>
        <scheme val="minor"/>
      </rPr>
      <t xml:space="preserve"> 데이터 무제한 요금제는 기본제공 데이터 14, 20, 25GB이고 </t>
    </r>
    <r>
      <rPr>
        <b/>
        <sz val="10"/>
        <color rgb="FFFF0000"/>
        <rFont val="맑은 고딕"/>
        <family val="3"/>
        <charset val="129"/>
        <scheme val="minor"/>
      </rPr>
      <t>기본제공데이터를 넘을 경우 속도 2Mbps로 제한</t>
    </r>
    <r>
      <rPr>
        <sz val="10"/>
        <rFont val="맑은 고딕"/>
        <family val="3"/>
        <charset val="129"/>
        <scheme val="minor"/>
      </rPr>
      <t>됩</t>
    </r>
    <r>
      <rPr>
        <sz val="10"/>
        <color theme="1"/>
        <rFont val="맑은 고딕"/>
        <family val="3"/>
        <charset val="129"/>
        <scheme val="minor"/>
      </rPr>
      <t>니다.(</t>
    </r>
    <r>
      <rPr>
        <b/>
        <sz val="10"/>
        <color rgb="FF0070C0"/>
        <rFont val="맑은 고딕"/>
        <family val="3"/>
        <charset val="129"/>
        <scheme val="minor"/>
      </rPr>
      <t>신규가입불가</t>
    </r>
    <r>
      <rPr>
        <sz val="10"/>
        <color theme="1"/>
        <rFont val="맑은 고딕"/>
        <family val="3"/>
        <charset val="129"/>
        <scheme val="minor"/>
      </rPr>
      <t>)</t>
    </r>
    <phoneticPr fontId="3" type="noConversion"/>
  </si>
  <si>
    <r>
      <t>*</t>
    </r>
    <r>
      <rPr>
        <b/>
        <sz val="10"/>
        <color rgb="FFFF0000"/>
        <rFont val="맑은 고딕"/>
        <family val="3"/>
        <charset val="129"/>
        <scheme val="minor"/>
      </rPr>
      <t xml:space="preserve"> 광대역 안심무한 67,77</t>
    </r>
    <r>
      <rPr>
        <sz val="10"/>
        <color theme="1"/>
        <rFont val="맑은 고딕"/>
        <family val="3"/>
        <charset val="129"/>
        <scheme val="minor"/>
      </rPr>
      <t xml:space="preserve"> 데이터 무제한 요금제는 </t>
    </r>
    <r>
      <rPr>
        <b/>
        <sz val="10"/>
        <color rgb="FFFF0000"/>
        <rFont val="맑은 고딕"/>
        <family val="3"/>
        <charset val="129"/>
        <scheme val="minor"/>
      </rPr>
      <t>기본제공 데이터 15GB를 넘을 경우 속도 400kbps로 제한</t>
    </r>
    <r>
      <rPr>
        <sz val="10"/>
        <rFont val="맑은 고딕"/>
        <family val="3"/>
        <charset val="129"/>
        <scheme val="minor"/>
      </rPr>
      <t>됩니다</t>
    </r>
    <r>
      <rPr>
        <b/>
        <sz val="10"/>
        <color rgb="FFFF0000"/>
        <rFont val="맑은 고딕"/>
        <family val="3"/>
        <charset val="129"/>
        <scheme val="minor"/>
      </rPr>
      <t>.</t>
    </r>
    <phoneticPr fontId="3" type="noConversion"/>
  </si>
  <si>
    <r>
      <t>* 2014년1월 현재 신규가입 불가능한 요금제 :</t>
    </r>
    <r>
      <rPr>
        <sz val="10"/>
        <color rgb="FF00B050"/>
        <rFont val="맑은 고딕"/>
        <family val="3"/>
        <charset val="129"/>
        <scheme val="minor"/>
      </rPr>
      <t xml:space="preserve"> </t>
    </r>
    <r>
      <rPr>
        <b/>
        <sz val="10"/>
        <color rgb="FF00B050"/>
        <rFont val="맑은 고딕"/>
        <family val="3"/>
        <charset val="129"/>
        <scheme val="minor"/>
      </rPr>
      <t>LTE 550,650,750,950,1100,1300</t>
    </r>
    <r>
      <rPr>
        <sz val="10"/>
        <color rgb="FF00B050"/>
        <rFont val="맑은 고딕"/>
        <family val="3"/>
        <charset val="129"/>
        <scheme val="minor"/>
      </rPr>
      <t xml:space="preserve"> </t>
    </r>
    <r>
      <rPr>
        <sz val="10"/>
        <color theme="1"/>
        <rFont val="맑은 고딕"/>
        <family val="3"/>
        <charset val="129"/>
        <scheme val="minor"/>
      </rPr>
      <t>입니다.</t>
    </r>
    <phoneticPr fontId="3" type="noConversion"/>
  </si>
  <si>
    <r>
      <t>*</t>
    </r>
    <r>
      <rPr>
        <b/>
        <sz val="10"/>
        <color rgb="FFFF0000"/>
        <rFont val="맑은 고딕"/>
        <family val="3"/>
        <charset val="129"/>
        <scheme val="minor"/>
      </rPr>
      <t xml:space="preserve"> LTE 데이터 무제한 요금제</t>
    </r>
    <r>
      <rPr>
        <sz val="10"/>
        <color theme="1"/>
        <rFont val="맑은 고딕"/>
        <family val="3"/>
        <charset val="129"/>
        <scheme val="minor"/>
      </rPr>
      <t>(</t>
    </r>
    <r>
      <rPr>
        <b/>
        <sz val="10"/>
        <color rgb="FFFF0000"/>
        <rFont val="맑은 고딕"/>
        <family val="3"/>
        <charset val="129"/>
        <scheme val="minor"/>
      </rPr>
      <t>완전무한 79/129</t>
    </r>
    <r>
      <rPr>
        <sz val="10"/>
        <color theme="1"/>
        <rFont val="맑은 고딕"/>
        <family val="3"/>
        <charset val="129"/>
        <scheme val="minor"/>
      </rPr>
      <t xml:space="preserve">)의 기본제공 데이터(각각 </t>
    </r>
    <r>
      <rPr>
        <b/>
        <sz val="10"/>
        <color rgb="FFFF0000"/>
        <rFont val="맑은 고딕"/>
        <family val="3"/>
        <charset val="129"/>
        <scheme val="minor"/>
      </rPr>
      <t>10GB, 25GB</t>
    </r>
    <r>
      <rPr>
        <sz val="10"/>
        <color theme="1"/>
        <rFont val="맑은 고딕"/>
        <family val="3"/>
        <charset val="129"/>
        <scheme val="minor"/>
      </rPr>
      <t xml:space="preserve">) 소진 이후에도 </t>
    </r>
    <r>
      <rPr>
        <b/>
        <sz val="10"/>
        <color rgb="FFFF0000"/>
        <rFont val="맑은 고딕"/>
        <family val="3"/>
        <charset val="129"/>
        <scheme val="minor"/>
      </rPr>
      <t>일 2GB까지 추가 사용이 가능</t>
    </r>
    <r>
      <rPr>
        <sz val="10"/>
        <color theme="1"/>
        <rFont val="맑은 고딕"/>
        <family val="3"/>
        <charset val="129"/>
        <scheme val="minor"/>
      </rPr>
      <t>하며,</t>
    </r>
    <phoneticPr fontId="3" type="noConversion"/>
  </si>
  <si>
    <r>
      <t xml:space="preserve">    일 2GB를 초과해서 사용하더라도 </t>
    </r>
    <r>
      <rPr>
        <b/>
        <sz val="10"/>
        <color rgb="FFFF0000"/>
        <rFont val="맑은 고딕"/>
        <family val="3"/>
        <charset val="129"/>
        <scheme val="minor"/>
      </rPr>
      <t>최대 2Mbps 속도로 지속 이용</t>
    </r>
    <r>
      <rPr>
        <sz val="10"/>
        <color theme="1"/>
        <rFont val="맑은 고딕"/>
        <family val="3"/>
        <charset val="129"/>
        <scheme val="minor"/>
      </rPr>
      <t xml:space="preserve">이 가능합니다. </t>
    </r>
    <phoneticPr fontId="3" type="noConversion"/>
  </si>
  <si>
    <t>추천순위에 선택형 요금제당 하나씩나열하기</t>
    <phoneticPr fontId="3" type="noConversion"/>
  </si>
  <si>
    <t>O</t>
  </si>
  <si>
    <t>실제요금</t>
    <phoneticPr fontId="3" type="noConversion"/>
  </si>
  <si>
    <t>검색
제외</t>
    <phoneticPr fontId="3" type="noConversion"/>
  </si>
  <si>
    <r>
      <t xml:space="preserve">문자추가비
</t>
    </r>
    <r>
      <rPr>
        <sz val="8"/>
        <color theme="1"/>
        <rFont val="맑은 고딕"/>
        <family val="3"/>
        <charset val="129"/>
        <scheme val="minor"/>
      </rPr>
      <t>(부가세미포함)</t>
    </r>
    <phoneticPr fontId="3" type="noConversion"/>
  </si>
  <si>
    <r>
      <rPr>
        <b/>
        <sz val="9"/>
        <color theme="1"/>
        <rFont val="맑은 고딕"/>
        <family val="3"/>
        <charset val="129"/>
        <scheme val="minor"/>
      </rPr>
      <t>문자추가비</t>
    </r>
    <r>
      <rPr>
        <sz val="9"/>
        <color theme="1"/>
        <rFont val="맑은 고딕"/>
        <family val="3"/>
        <charset val="129"/>
        <scheme val="minor"/>
      </rPr>
      <t xml:space="preserve">
</t>
    </r>
    <r>
      <rPr>
        <sz val="8"/>
        <color theme="1"/>
        <rFont val="맑은 고딕"/>
        <family val="3"/>
        <charset val="129"/>
        <scheme val="minor"/>
      </rPr>
      <t>(부가세미포함)</t>
    </r>
    <phoneticPr fontId="3" type="noConversion"/>
  </si>
  <si>
    <r>
      <rPr>
        <b/>
        <sz val="8"/>
        <color theme="1"/>
        <rFont val="맑은 고딕"/>
        <family val="3"/>
        <charset val="129"/>
        <scheme val="minor"/>
      </rPr>
      <t>음성추가 통화료</t>
    </r>
    <r>
      <rPr>
        <sz val="8"/>
        <color theme="1"/>
        <rFont val="맑은 고딕"/>
        <family val="3"/>
        <charset val="129"/>
        <scheme val="minor"/>
      </rPr>
      <t xml:space="preserve">
(부가세미포함)</t>
    </r>
    <phoneticPr fontId="3" type="noConversion"/>
  </si>
  <si>
    <r>
      <rPr>
        <b/>
        <sz val="20"/>
        <color theme="1"/>
        <rFont val="맑은 고딕"/>
        <family val="3"/>
        <charset val="129"/>
        <scheme val="major"/>
      </rPr>
      <t>KT</t>
    </r>
    <r>
      <rPr>
        <b/>
        <sz val="18"/>
        <color theme="1"/>
        <rFont val="맑은 고딕"/>
        <family val="3"/>
        <charset val="129"/>
        <scheme val="major"/>
      </rPr>
      <t xml:space="preserve"> </t>
    </r>
    <r>
      <rPr>
        <b/>
        <sz val="14"/>
        <color theme="1"/>
        <rFont val="맑은 고딕"/>
        <family val="3"/>
        <charset val="129"/>
        <scheme val="major"/>
      </rPr>
      <t xml:space="preserve">사용량 추천 요금제 ( </t>
    </r>
    <r>
      <rPr>
        <b/>
        <sz val="18"/>
        <color rgb="FFFF0000"/>
        <rFont val="맑은 고딕"/>
        <family val="3"/>
        <charset val="129"/>
        <scheme val="major"/>
      </rPr>
      <t xml:space="preserve">LTE </t>
    </r>
    <r>
      <rPr>
        <b/>
        <sz val="14"/>
        <color theme="1"/>
        <rFont val="맑은 고딕"/>
        <family val="3"/>
        <charset val="129"/>
        <scheme val="major"/>
      </rPr>
      <t>)            V 1.15</t>
    </r>
    <phoneticPr fontId="3" type="noConversion"/>
  </si>
  <si>
    <r>
      <rPr>
        <b/>
        <sz val="18"/>
        <color rgb="FFFF0000"/>
        <rFont val="맑은 고딕"/>
        <family val="3"/>
        <charset val="129"/>
        <scheme val="major"/>
      </rPr>
      <t>LG U+</t>
    </r>
    <r>
      <rPr>
        <b/>
        <sz val="18"/>
        <color theme="1"/>
        <rFont val="맑은 고딕"/>
        <family val="3"/>
        <charset val="129"/>
        <scheme val="major"/>
      </rPr>
      <t xml:space="preserve"> </t>
    </r>
    <r>
      <rPr>
        <b/>
        <sz val="14"/>
        <color theme="1"/>
        <rFont val="맑은 고딕"/>
        <family val="3"/>
        <charset val="129"/>
        <scheme val="major"/>
      </rPr>
      <t xml:space="preserve">사용량 추천 요금제 ( </t>
    </r>
    <r>
      <rPr>
        <b/>
        <sz val="18"/>
        <color rgb="FFFF0000"/>
        <rFont val="맑은 고딕"/>
        <family val="3"/>
        <charset val="129"/>
        <scheme val="major"/>
      </rPr>
      <t xml:space="preserve">LTE </t>
    </r>
    <r>
      <rPr>
        <b/>
        <sz val="14"/>
        <color theme="1"/>
        <rFont val="맑은 고딕"/>
        <family val="3"/>
        <charset val="129"/>
        <scheme val="major"/>
      </rPr>
      <t>)            V 1.06</t>
    </r>
    <phoneticPr fontId="3" type="noConversion"/>
  </si>
  <si>
    <t>해당사항없음</t>
  </si>
  <si>
    <t>실제요금</t>
    <phoneticPr fontId="3" type="noConversion"/>
  </si>
  <si>
    <t>데이터(MB)</t>
    <phoneticPr fontId="3" type="noConversion"/>
  </si>
  <si>
    <t>기본사항 입력</t>
    <phoneticPr fontId="3" type="noConversion"/>
  </si>
  <si>
    <t>할인종류 및 선택나열옵션 입력</t>
    <phoneticPr fontId="3" type="noConversion"/>
  </si>
  <si>
    <t>평균 국내음성 사용시간(분)</t>
    <phoneticPr fontId="3" type="noConversion"/>
  </si>
  <si>
    <t xml:space="preserve"> 약정할인 (24개월)</t>
    <phoneticPr fontId="3" type="noConversion"/>
  </si>
  <si>
    <t>O</t>
    <phoneticPr fontId="3" type="noConversion"/>
  </si>
  <si>
    <t>문자(SMS) 이용건수</t>
    <phoneticPr fontId="3" type="noConversion"/>
  </si>
  <si>
    <t>복지할인(35%)</t>
    <phoneticPr fontId="3" type="noConversion"/>
  </si>
  <si>
    <t>데이터 이용량(MB)</t>
    <phoneticPr fontId="3" type="noConversion"/>
  </si>
  <si>
    <r>
      <rPr>
        <b/>
        <sz val="9"/>
        <color rgb="FFFF0000"/>
        <rFont val="맑은 고딕"/>
        <family val="3"/>
        <charset val="129"/>
        <scheme val="minor"/>
      </rPr>
      <t>LTE 맞춤형요금제</t>
    </r>
    <r>
      <rPr>
        <sz val="9"/>
        <color theme="1"/>
        <rFont val="맑은 고딕"/>
        <family val="3"/>
        <charset val="129"/>
        <scheme val="minor"/>
      </rPr>
      <t>인 경우 문자개수 선택</t>
    </r>
    <phoneticPr fontId="3" type="noConversion"/>
  </si>
  <si>
    <t>추천순위에 맞춤형 요금제당 하나씩나열하기</t>
    <phoneticPr fontId="3" type="noConversion"/>
  </si>
  <si>
    <t>통화 비중(%)</t>
    <phoneticPr fontId="3" type="noConversion"/>
  </si>
  <si>
    <t>통신 3사 할인</t>
    <phoneticPr fontId="3" type="noConversion"/>
  </si>
  <si>
    <t>SKT</t>
    <phoneticPr fontId="3" type="noConversion"/>
  </si>
  <si>
    <t>SKT - T끼리 온가족 할인(%)</t>
    <phoneticPr fontId="3" type="noConversion"/>
  </si>
  <si>
    <t>KT</t>
    <phoneticPr fontId="3" type="noConversion"/>
  </si>
  <si>
    <t>KT - 뭉올할인</t>
    <phoneticPr fontId="3" type="noConversion"/>
  </si>
  <si>
    <t>LG U+</t>
    <phoneticPr fontId="3" type="noConversion"/>
  </si>
  <si>
    <t>LG U+</t>
    <phoneticPr fontId="3" type="noConversion"/>
  </si>
  <si>
    <t>LGU+ - 한방에YO할인</t>
    <phoneticPr fontId="3" type="noConversion"/>
  </si>
  <si>
    <t>추천
요금제</t>
    <phoneticPr fontId="3" type="noConversion"/>
  </si>
  <si>
    <t>통화시간(분)</t>
    <phoneticPr fontId="3" type="noConversion"/>
  </si>
  <si>
    <t>문자</t>
    <phoneticPr fontId="3" type="noConversion"/>
  </si>
  <si>
    <t>데이터(MB)</t>
    <phoneticPr fontId="3" type="noConversion"/>
  </si>
  <si>
    <t>기본요금</t>
    <phoneticPr fontId="3" type="noConversion"/>
  </si>
  <si>
    <t>음성추가 통화료
(부가세미포함)</t>
    <phoneticPr fontId="3" type="noConversion"/>
  </si>
  <si>
    <t>문자추가비
(부가세미포함)</t>
    <phoneticPr fontId="3" type="noConversion"/>
  </si>
  <si>
    <t>실제요금</t>
    <phoneticPr fontId="3" type="noConversion"/>
  </si>
  <si>
    <t>데이터</t>
    <phoneticPr fontId="3" type="noConversion"/>
  </si>
  <si>
    <t>차이</t>
    <phoneticPr fontId="3" type="noConversion"/>
  </si>
  <si>
    <t>KT</t>
    <phoneticPr fontId="3" type="noConversion"/>
  </si>
  <si>
    <r>
      <t xml:space="preserve">* 추천요금제에 대한 더 자세한 사항은 </t>
    </r>
    <r>
      <rPr>
        <b/>
        <sz val="11"/>
        <color theme="9" tint="-0.249977111117893"/>
        <rFont val="맑은 고딕"/>
        <family val="3"/>
        <charset val="129"/>
        <scheme val="minor"/>
      </rPr>
      <t>참고-SKT</t>
    </r>
    <r>
      <rPr>
        <sz val="11"/>
        <color theme="1"/>
        <rFont val="맑은 고딕"/>
        <family val="2"/>
        <charset val="129"/>
        <scheme val="minor"/>
      </rPr>
      <t xml:space="preserve">, </t>
    </r>
    <r>
      <rPr>
        <b/>
        <sz val="11"/>
        <color theme="3" tint="-0.249977111117893"/>
        <rFont val="맑은 고딕"/>
        <family val="3"/>
        <charset val="129"/>
        <scheme val="minor"/>
      </rPr>
      <t>참고-KT</t>
    </r>
    <r>
      <rPr>
        <sz val="11"/>
        <color theme="1"/>
        <rFont val="맑은 고딕"/>
        <family val="2"/>
        <charset val="129"/>
        <scheme val="minor"/>
      </rPr>
      <t xml:space="preserve">, </t>
    </r>
    <r>
      <rPr>
        <b/>
        <sz val="11"/>
        <color rgb="FFFF6699"/>
        <rFont val="맑은 고딕"/>
        <family val="3"/>
        <charset val="129"/>
        <scheme val="minor"/>
      </rPr>
      <t>참고-LG U+</t>
    </r>
    <r>
      <rPr>
        <sz val="11"/>
        <color theme="1"/>
        <rFont val="맑은 고딕"/>
        <family val="2"/>
        <charset val="129"/>
        <scheme val="minor"/>
      </rPr>
      <t xml:space="preserve"> 탭을 클릭하시면 됩니다.</t>
    </r>
    <phoneticPr fontId="3" type="noConversion"/>
  </si>
  <si>
    <t>* 3사 추천요금제에 관련한 탭입니다.</t>
    <phoneticPr fontId="3" type="noConversion"/>
  </si>
  <si>
    <r>
      <rPr>
        <b/>
        <sz val="20"/>
        <color theme="1"/>
        <rFont val="맑은 고딕"/>
        <family val="3"/>
        <charset val="129"/>
        <scheme val="minor"/>
      </rPr>
      <t>SK</t>
    </r>
    <r>
      <rPr>
        <sz val="18"/>
        <color theme="1"/>
        <rFont val="맑은 고딕"/>
        <family val="3"/>
        <charset val="129"/>
        <scheme val="minor"/>
      </rPr>
      <t xml:space="preserve"> </t>
    </r>
    <r>
      <rPr>
        <b/>
        <sz val="14"/>
        <color theme="1"/>
        <rFont val="맑은 고딕"/>
        <family val="3"/>
        <charset val="129"/>
        <scheme val="minor"/>
      </rPr>
      <t xml:space="preserve">사용량 추천 요금제 ( </t>
    </r>
    <r>
      <rPr>
        <b/>
        <sz val="18"/>
        <color rgb="FFFF0000"/>
        <rFont val="맑은 고딕"/>
        <family val="3"/>
        <charset val="129"/>
        <scheme val="minor"/>
      </rPr>
      <t xml:space="preserve">LTE </t>
    </r>
    <r>
      <rPr>
        <b/>
        <sz val="14"/>
        <color theme="1"/>
        <rFont val="맑은 고딕"/>
        <family val="3"/>
        <charset val="129"/>
        <scheme val="minor"/>
      </rPr>
      <t>)            V 3.56</t>
    </r>
    <phoneticPr fontId="3" type="noConversion"/>
  </si>
  <si>
    <r>
      <t xml:space="preserve">* 검색제외할 요금제를 선택/해제하실경우에는 </t>
    </r>
    <r>
      <rPr>
        <b/>
        <sz val="11"/>
        <color rgb="FFFF0000"/>
        <rFont val="맑은 고딕"/>
        <family val="3"/>
        <charset val="129"/>
        <scheme val="minor"/>
      </rPr>
      <t>참고-SKT,KT,LGU+</t>
    </r>
    <r>
      <rPr>
        <b/>
        <sz val="11"/>
        <color theme="1"/>
        <rFont val="맑은 고딕"/>
        <family val="3"/>
        <charset val="129"/>
        <scheme val="minor"/>
      </rPr>
      <t xml:space="preserve"> </t>
    </r>
    <r>
      <rPr>
        <b/>
        <sz val="11"/>
        <color rgb="FFFF0000"/>
        <rFont val="맑은 고딕"/>
        <family val="3"/>
        <charset val="129"/>
        <scheme val="minor"/>
      </rPr>
      <t>탭을 클릭하셔서 체크</t>
    </r>
    <r>
      <rPr>
        <sz val="11"/>
        <color theme="1"/>
        <rFont val="맑은 고딕"/>
        <family val="2"/>
        <charset val="129"/>
        <scheme val="minor"/>
      </rPr>
      <t>하시면 됩니다.</t>
    </r>
    <phoneticPr fontId="3" type="noConversion"/>
  </si>
  <si>
    <r>
      <rPr>
        <b/>
        <sz val="20"/>
        <color rgb="FFFF0000"/>
        <rFont val="맑은 고딕"/>
        <family val="3"/>
        <charset val="129"/>
        <scheme val="minor"/>
      </rPr>
      <t>SKT, KT, LG U+</t>
    </r>
    <r>
      <rPr>
        <b/>
        <sz val="20"/>
        <color theme="1"/>
        <rFont val="맑은 고딕"/>
        <family val="3"/>
        <charset val="129"/>
        <scheme val="minor"/>
      </rPr>
      <t xml:space="preserve">      추천 요금제  (</t>
    </r>
    <r>
      <rPr>
        <b/>
        <sz val="20"/>
        <color rgb="FFFF0000"/>
        <rFont val="맑은 고딕"/>
        <family val="3"/>
        <charset val="129"/>
        <scheme val="minor"/>
      </rPr>
      <t>LTE</t>
    </r>
    <r>
      <rPr>
        <b/>
        <sz val="20"/>
        <color theme="1"/>
        <rFont val="맑은 고딕"/>
        <family val="3"/>
        <charset val="129"/>
        <scheme val="minor"/>
      </rPr>
      <t xml:space="preserve">)   V1.0 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</si>
</sst>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#,##0_ "/>
    <numFmt numFmtId="177" formatCode="#,##0;[Red]#,##0"/>
    <numFmt numFmtId="178" formatCode="#,##0_);[Red]\(#,##0\)"/>
    <numFmt numFmtId="179" formatCode="#,##0_ ;[Red]\-#,##0\ "/>
    <numFmt numFmtId="180" formatCode="&quot;₩&quot;#,##0"/>
  </numFmts>
  <fonts count="89">
    <font>
      <sz val="11"/>
      <color theme="1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48"/>
      <color theme="1"/>
      <name val="HY울릉도M"/>
      <family val="1"/>
      <charset val="129"/>
    </font>
    <font>
      <b/>
      <sz val="11"/>
      <color rgb="FFFF0000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sz val="9"/>
      <color theme="0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9"/>
      <color rgb="FFFF0000"/>
      <name val="맑은 고딕"/>
      <family val="2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2"/>
      <color rgb="FF0070C0"/>
      <name val="맑은 고딕"/>
      <family val="3"/>
      <charset val="129"/>
      <scheme val="minor"/>
    </font>
    <font>
      <sz val="18"/>
      <color theme="1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6"/>
      <color theme="0"/>
      <name val="맑은 고딕"/>
      <family val="2"/>
      <charset val="129"/>
      <scheme val="minor"/>
    </font>
    <font>
      <b/>
      <sz val="9"/>
      <color rgb="FFFF0000"/>
      <name val="맑은 고딕"/>
      <family val="3"/>
      <charset val="129"/>
      <scheme val="minor"/>
    </font>
    <font>
      <b/>
      <sz val="9"/>
      <color rgb="FF0070C0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10"/>
      <color rgb="FF0070C0"/>
      <name val="맑은 고딕"/>
      <family val="3"/>
      <charset val="129"/>
      <scheme val="minor"/>
    </font>
    <font>
      <sz val="9"/>
      <name val="맑은 고딕"/>
      <family val="2"/>
      <charset val="129"/>
      <scheme val="minor"/>
    </font>
    <font>
      <b/>
      <sz val="11"/>
      <color theme="4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b/>
      <sz val="9"/>
      <color indexed="10"/>
      <name val="맑은 고딕"/>
      <family val="3"/>
      <charset val="129"/>
    </font>
    <font>
      <sz val="10"/>
      <name val="맑은 고딕"/>
      <family val="3"/>
      <charset val="129"/>
      <scheme val="minor"/>
    </font>
    <font>
      <b/>
      <sz val="14"/>
      <color theme="0"/>
      <name val="맑은 고딕"/>
      <family val="3"/>
      <charset val="129"/>
      <scheme val="minor"/>
    </font>
    <font>
      <b/>
      <sz val="8"/>
      <color rgb="FFFF0000"/>
      <name val="맑은 고딕"/>
      <family val="3"/>
      <charset val="129"/>
      <scheme val="minor"/>
    </font>
    <font>
      <b/>
      <sz val="9"/>
      <color rgb="FF7030A0"/>
      <name val="맑은 고딕"/>
      <family val="3"/>
      <charset val="129"/>
      <scheme val="minor"/>
    </font>
    <font>
      <sz val="2"/>
      <color theme="0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b/>
      <sz val="8"/>
      <color theme="1"/>
      <name val="맑은 고딕"/>
      <family val="3"/>
      <charset val="129"/>
      <scheme val="major"/>
    </font>
    <font>
      <sz val="8"/>
      <color theme="0"/>
      <name val="맑은 고딕"/>
      <family val="2"/>
      <charset val="129"/>
      <scheme val="minor"/>
    </font>
    <font>
      <b/>
      <sz val="10"/>
      <color rgb="FF00B050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sz val="6"/>
      <color theme="0"/>
      <name val="맑은 고딕"/>
      <family val="3"/>
      <charset val="129"/>
      <scheme val="minor"/>
    </font>
    <font>
      <sz val="10"/>
      <color rgb="FF00B050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ajor"/>
    </font>
    <font>
      <b/>
      <sz val="11"/>
      <color theme="0"/>
      <name val="맑은 고딕"/>
      <family val="3"/>
      <charset val="129"/>
      <scheme val="major"/>
    </font>
    <font>
      <sz val="9"/>
      <color theme="0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ajor"/>
    </font>
    <font>
      <b/>
      <sz val="8"/>
      <color theme="0"/>
      <name val="맑은 고딕"/>
      <family val="3"/>
      <charset val="129"/>
      <scheme val="major"/>
    </font>
    <font>
      <b/>
      <sz val="8"/>
      <color theme="1"/>
      <name val="맑은 고딕"/>
      <family val="3"/>
      <charset val="129"/>
      <scheme val="minor"/>
    </font>
    <font>
      <sz val="9"/>
      <color theme="0"/>
      <name val="맑은 고딕"/>
      <family val="3"/>
      <charset val="129"/>
      <scheme val="major"/>
    </font>
    <font>
      <sz val="10"/>
      <color rgb="FFFF0000"/>
      <name val="맑은 고딕"/>
      <family val="2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9"/>
      <color rgb="FF7030A0"/>
      <name val="맑은 고딕"/>
      <family val="3"/>
      <charset val="129"/>
      <scheme val="minor"/>
    </font>
    <font>
      <b/>
      <sz val="10"/>
      <color theme="4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color rgb="FFEC008C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8"/>
      <color rgb="FFFF0000"/>
      <name val="맑은 고딕"/>
      <family val="3"/>
      <charset val="129"/>
      <scheme val="minor"/>
    </font>
    <font>
      <b/>
      <sz val="11"/>
      <color rgb="FF7030A0"/>
      <name val="맑은 고딕"/>
      <family val="3"/>
      <charset val="129"/>
      <scheme val="minor"/>
    </font>
    <font>
      <b/>
      <sz val="11"/>
      <color theme="3" tint="0.39997558519241921"/>
      <name val="맑은 고딕"/>
      <family val="3"/>
      <charset val="129"/>
      <scheme val="minor"/>
    </font>
    <font>
      <b/>
      <sz val="6"/>
      <color theme="0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ajor"/>
    </font>
    <font>
      <b/>
      <sz val="18"/>
      <color rgb="FFFF0000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ajor"/>
    </font>
    <font>
      <b/>
      <sz val="20"/>
      <color theme="1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ajor"/>
    </font>
    <font>
      <sz val="9"/>
      <color rgb="FF002060"/>
      <name val="맑은 고딕"/>
      <family val="2"/>
      <charset val="129"/>
      <scheme val="minor"/>
    </font>
    <font>
      <sz val="9"/>
      <color rgb="FF00206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ajor"/>
    </font>
    <font>
      <sz val="10"/>
      <color theme="0"/>
      <name val="맑은 고딕"/>
      <family val="3"/>
      <charset val="129"/>
      <scheme val="major"/>
    </font>
    <font>
      <b/>
      <sz val="10"/>
      <color theme="0"/>
      <name val="맑은 고딕"/>
      <family val="3"/>
      <charset val="129"/>
      <scheme val="major"/>
    </font>
    <font>
      <b/>
      <sz val="9"/>
      <color theme="0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ajor"/>
    </font>
    <font>
      <b/>
      <sz val="20"/>
      <color rgb="FFFF0000"/>
      <name val="맑은 고딕"/>
      <family val="3"/>
      <charset val="129"/>
      <scheme val="minor"/>
    </font>
    <font>
      <b/>
      <sz val="8"/>
      <color theme="0"/>
      <name val="맑은 고딕"/>
      <family val="3"/>
      <charset val="129"/>
      <scheme val="minor"/>
    </font>
    <font>
      <b/>
      <sz val="10"/>
      <color theme="0"/>
      <name val="맑은 고딕"/>
      <family val="3"/>
      <charset val="129"/>
      <scheme val="minor"/>
    </font>
    <font>
      <b/>
      <sz val="10"/>
      <color rgb="FF7030A0"/>
      <name val="맑은 고딕"/>
      <family val="3"/>
      <charset val="129"/>
      <scheme val="minor"/>
    </font>
    <font>
      <b/>
      <sz val="11"/>
      <color theme="9" tint="-0.249977111117893"/>
      <name val="맑은 고딕"/>
      <family val="3"/>
      <charset val="129"/>
      <scheme val="minor"/>
    </font>
    <font>
      <b/>
      <sz val="11"/>
      <color theme="3" tint="-0.249977111117893"/>
      <name val="맑은 고딕"/>
      <family val="3"/>
      <charset val="129"/>
      <scheme val="minor"/>
    </font>
    <font>
      <b/>
      <sz val="11"/>
      <color rgb="FFFF6699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ajor"/>
    </font>
    <font>
      <b/>
      <sz val="22"/>
      <color rgb="FFFF0000"/>
      <name val="맑은 고딕"/>
      <family val="3"/>
      <charset val="129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gradientFill degree="270">
        <stop position="0">
          <color theme="0"/>
        </stop>
        <stop position="1">
          <color theme="7" tint="0.59999389629810485"/>
        </stop>
      </gradientFill>
    </fill>
    <fill>
      <gradientFill degree="270">
        <stop position="0">
          <color theme="0"/>
        </stop>
        <stop position="1">
          <color theme="9" tint="0.40000610370189521"/>
        </stop>
      </gradientFill>
    </fill>
    <fill>
      <gradientFill degree="270">
        <stop position="0">
          <color theme="0"/>
        </stop>
        <stop position="1">
          <color rgb="FFFFFF00"/>
        </stop>
      </gradientFill>
    </fill>
    <fill>
      <gradientFill degree="270">
        <stop position="0">
          <color theme="0"/>
        </stop>
        <stop position="1">
          <color theme="6" tint="0.59999389629810485"/>
        </stop>
      </gradientFill>
    </fill>
    <fill>
      <gradientFill degree="270">
        <stop position="0">
          <color theme="0"/>
        </stop>
        <stop position="1">
          <color theme="2" tint="-0.25098422193060094"/>
        </stop>
      </gradientFill>
    </fill>
    <fill>
      <gradientFill degree="270">
        <stop position="0">
          <color theme="0"/>
        </stop>
        <stop position="1">
          <color theme="6"/>
        </stop>
      </gradientFill>
    </fill>
    <fill>
      <gradientFill degree="270">
        <stop position="0">
          <color rgb="FF0070C0"/>
        </stop>
        <stop position="1">
          <color rgb="FF002060"/>
        </stop>
      </gradientFill>
    </fill>
    <fill>
      <gradientFill degree="90">
        <stop position="0">
          <color rgb="FFEC008C"/>
        </stop>
        <stop position="1">
          <color theme="0"/>
        </stop>
      </gradientFill>
    </fill>
    <fill>
      <gradientFill degree="90">
        <stop position="0">
          <color rgb="FFEC008C"/>
        </stop>
        <stop position="1">
          <color rgb="FFFF9999"/>
        </stop>
      </gradientFill>
    </fill>
    <fill>
      <gradientFill degree="90">
        <stop position="0">
          <color rgb="FFFFFF00"/>
        </stop>
        <stop position="1">
          <color theme="6" tint="0.59999389629810485"/>
        </stop>
      </gradientFill>
    </fill>
    <fill>
      <gradientFill degree="270">
        <stop position="0">
          <color theme="0"/>
        </stop>
        <stop position="1">
          <color theme="3" tint="0.59999389629810485"/>
        </stop>
      </gradientFill>
    </fill>
    <fill>
      <patternFill patternType="solid">
        <fgColor rgb="FFFFFF00"/>
        <bgColor auto="1"/>
      </patternFill>
    </fill>
    <fill>
      <patternFill patternType="solid">
        <fgColor rgb="FF00206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24994659260841701"/>
        <bgColor indexed="64"/>
      </patternFill>
    </fill>
    <fill>
      <gradientFill degree="270">
        <stop position="0">
          <color theme="0"/>
        </stop>
        <stop position="1">
          <color theme="4" tint="0.59999389629810485"/>
        </stop>
      </gradientFill>
    </fill>
    <fill>
      <gradientFill degree="90">
        <stop position="0">
          <color theme="6" tint="-0.25098422193060094"/>
        </stop>
        <stop position="1">
          <color theme="4" tint="0.80001220740379042"/>
        </stop>
      </gradientFill>
    </fill>
    <fill>
      <patternFill patternType="solid">
        <fgColor rgb="FF92D050"/>
        <bgColor auto="1"/>
      </patternFill>
    </fill>
    <fill>
      <gradientFill degree="90">
        <stop position="0">
          <color rgb="FF92D050"/>
        </stop>
        <stop position="1">
          <color theme="0"/>
        </stop>
      </gradientFill>
    </fill>
    <fill>
      <gradientFill degree="90">
        <stop position="0">
          <color theme="7" tint="0.40000610370189521"/>
        </stop>
        <stop position="1">
          <color theme="0"/>
        </stop>
      </gradient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auto="1"/>
      </patternFill>
    </fill>
    <fill>
      <gradientFill degree="90">
        <stop position="0">
          <color rgb="FFFFFF00"/>
        </stop>
        <stop position="1">
          <color theme="0"/>
        </stop>
      </gradientFill>
    </fill>
    <fill>
      <gradientFill degree="90">
        <stop position="0">
          <color rgb="FFEFF35B"/>
        </stop>
        <stop position="1">
          <color theme="0"/>
        </stop>
      </gradientFill>
    </fill>
    <fill>
      <patternFill patternType="solid">
        <fgColor theme="0"/>
        <bgColor auto="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auto="1"/>
      </patternFill>
    </fill>
    <fill>
      <patternFill patternType="solid">
        <fgColor theme="8" tint="0.79998168889431442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854">
    <xf numFmtId="0" fontId="0" fillId="0" borderId="0" xfId="0">
      <alignment vertical="center"/>
    </xf>
    <xf numFmtId="3" fontId="0" fillId="0" borderId="22" xfId="0" applyNumberFormat="1" applyBorder="1" applyAlignment="1" applyProtection="1">
      <alignment horizontal="center" vertical="center"/>
      <protection hidden="1"/>
    </xf>
    <xf numFmtId="3" fontId="12" fillId="2" borderId="20" xfId="0" applyNumberFormat="1" applyFont="1" applyFill="1" applyBorder="1" applyProtection="1">
      <alignment vertical="center"/>
      <protection hidden="1"/>
    </xf>
    <xf numFmtId="3" fontId="0" fillId="0" borderId="13" xfId="0" applyNumberFormat="1" applyBorder="1" applyAlignment="1" applyProtection="1">
      <alignment horizontal="center" vertical="center"/>
      <protection hidden="1"/>
    </xf>
    <xf numFmtId="3" fontId="12" fillId="2" borderId="24" xfId="0" applyNumberFormat="1" applyFont="1" applyFill="1" applyBorder="1" applyProtection="1">
      <alignment vertical="center"/>
      <protection hidden="1"/>
    </xf>
    <xf numFmtId="0" fontId="0" fillId="2" borderId="21" xfId="0" applyFill="1" applyBorder="1" applyAlignment="1" applyProtection="1">
      <alignment horizontal="center" vertical="center"/>
      <protection hidden="1"/>
    </xf>
    <xf numFmtId="3" fontId="0" fillId="2" borderId="22" xfId="0" applyNumberFormat="1" applyFill="1" applyBorder="1" applyAlignment="1" applyProtection="1">
      <alignment horizontal="center" vertical="center"/>
      <protection hidden="1"/>
    </xf>
    <xf numFmtId="0" fontId="0" fillId="2" borderId="12" xfId="0" applyFill="1" applyBorder="1" applyAlignment="1" applyProtection="1">
      <alignment horizontal="center" vertical="center"/>
      <protection hidden="1"/>
    </xf>
    <xf numFmtId="3" fontId="0" fillId="2" borderId="13" xfId="0" applyNumberFormat="1" applyFill="1" applyBorder="1" applyAlignment="1" applyProtection="1">
      <alignment horizontal="center" vertical="center"/>
      <protection hidden="1"/>
    </xf>
    <xf numFmtId="3" fontId="0" fillId="0" borderId="6" xfId="0" applyNumberFormat="1" applyBorder="1" applyAlignment="1" applyProtection="1">
      <alignment horizontal="center" vertical="center"/>
      <protection hidden="1"/>
    </xf>
    <xf numFmtId="3" fontId="10" fillId="0" borderId="6" xfId="0" applyNumberFormat="1" applyFont="1" applyBorder="1" applyAlignment="1" applyProtection="1">
      <alignment horizontal="center" vertical="center"/>
      <protection hidden="1"/>
    </xf>
    <xf numFmtId="0" fontId="13" fillId="0" borderId="19" xfId="0" applyFont="1" applyBorder="1" applyAlignment="1" applyProtection="1">
      <alignment horizontal="center" vertical="center"/>
      <protection hidden="1"/>
    </xf>
    <xf numFmtId="3" fontId="10" fillId="0" borderId="22" xfId="0" applyNumberFormat="1" applyFont="1" applyBorder="1" applyAlignment="1" applyProtection="1">
      <alignment horizontal="center" vertical="center"/>
      <protection hidden="1"/>
    </xf>
    <xf numFmtId="0" fontId="13" fillId="0" borderId="23" xfId="0" applyFont="1" applyBorder="1" applyAlignment="1" applyProtection="1">
      <alignment horizontal="center" vertical="center"/>
      <protection hidden="1"/>
    </xf>
    <xf numFmtId="3" fontId="10" fillId="0" borderId="13" xfId="0" applyNumberFormat="1" applyFont="1" applyBorder="1" applyAlignment="1" applyProtection="1">
      <alignment horizontal="center" vertical="center"/>
      <protection hidden="1"/>
    </xf>
    <xf numFmtId="0" fontId="13" fillId="0" borderId="25" xfId="0" applyFont="1" applyBorder="1" applyAlignment="1" applyProtection="1">
      <alignment horizontal="center" vertical="center"/>
      <protection hidden="1"/>
    </xf>
    <xf numFmtId="3" fontId="0" fillId="2" borderId="6" xfId="0" applyNumberFormat="1" applyFill="1" applyBorder="1" applyAlignment="1" applyProtection="1">
      <alignment horizontal="center" vertical="center"/>
      <protection hidden="1"/>
    </xf>
    <xf numFmtId="3" fontId="12" fillId="0" borderId="19" xfId="0" applyNumberFormat="1" applyFont="1" applyBorder="1" applyAlignment="1" applyProtection="1">
      <alignment horizontal="center" vertical="center"/>
      <protection hidden="1"/>
    </xf>
    <xf numFmtId="3" fontId="12" fillId="0" borderId="23" xfId="0" applyNumberFormat="1" applyFont="1" applyBorder="1" applyAlignment="1" applyProtection="1">
      <alignment horizontal="center" vertical="center"/>
      <protection hidden="1"/>
    </xf>
    <xf numFmtId="3" fontId="12" fillId="0" borderId="25" xfId="0" applyNumberFormat="1" applyFont="1" applyBorder="1" applyAlignment="1" applyProtection="1">
      <alignment horizontal="center" vertical="center"/>
      <protection hidden="1"/>
    </xf>
    <xf numFmtId="3" fontId="9" fillId="2" borderId="6" xfId="0" applyNumberFormat="1" applyFont="1" applyFill="1" applyBorder="1" applyAlignment="1" applyProtection="1">
      <alignment horizontal="center" vertical="center" wrapText="1"/>
      <protection hidden="1"/>
    </xf>
    <xf numFmtId="41" fontId="13" fillId="2" borderId="19" xfId="0" applyNumberFormat="1" applyFont="1" applyFill="1" applyBorder="1" applyAlignment="1" applyProtection="1">
      <alignment horizontal="center" vertical="center"/>
      <protection hidden="1"/>
    </xf>
    <xf numFmtId="3" fontId="9" fillId="2" borderId="22" xfId="0" applyNumberFormat="1" applyFont="1" applyFill="1" applyBorder="1" applyAlignment="1" applyProtection="1">
      <alignment horizontal="center" vertical="center" wrapText="1"/>
      <protection hidden="1"/>
    </xf>
    <xf numFmtId="41" fontId="13" fillId="2" borderId="23" xfId="0" applyNumberFormat="1" applyFont="1" applyFill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21" xfId="0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3" fontId="12" fillId="2" borderId="19" xfId="0" applyNumberFormat="1" applyFont="1" applyFill="1" applyBorder="1" applyAlignment="1" applyProtection="1">
      <alignment horizontal="center" vertical="center"/>
      <protection hidden="1"/>
    </xf>
    <xf numFmtId="3" fontId="12" fillId="2" borderId="23" xfId="0" applyNumberFormat="1" applyFont="1" applyFill="1" applyBorder="1" applyAlignment="1" applyProtection="1">
      <alignment horizontal="center" vertical="center"/>
      <protection hidden="1"/>
    </xf>
    <xf numFmtId="3" fontId="12" fillId="2" borderId="25" xfId="0" applyNumberFormat="1" applyFont="1" applyFill="1" applyBorder="1" applyAlignment="1" applyProtection="1">
      <alignment horizontal="center" vertical="center"/>
      <protection hidden="1"/>
    </xf>
    <xf numFmtId="0" fontId="13" fillId="2" borderId="19" xfId="0" applyFont="1" applyFill="1" applyBorder="1" applyAlignment="1" applyProtection="1">
      <alignment horizontal="center" vertical="center"/>
      <protection hidden="1"/>
    </xf>
    <xf numFmtId="0" fontId="13" fillId="2" borderId="23" xfId="0" applyFont="1" applyFill="1" applyBorder="1" applyAlignment="1" applyProtection="1">
      <alignment horizontal="center" vertical="center"/>
      <protection hidden="1"/>
    </xf>
    <xf numFmtId="0" fontId="13" fillId="2" borderId="25" xfId="0" applyFont="1" applyFill="1" applyBorder="1" applyAlignment="1" applyProtection="1">
      <alignment horizontal="center" vertical="center"/>
      <protection hidden="1"/>
    </xf>
    <xf numFmtId="3" fontId="15" fillId="2" borderId="6" xfId="0" applyNumberFormat="1" applyFont="1" applyFill="1" applyBorder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22" xfId="0" applyFont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 wrapText="1"/>
      <protection hidden="1"/>
    </xf>
    <xf numFmtId="3" fontId="12" fillId="2" borderId="23" xfId="0" applyNumberFormat="1" applyFont="1" applyFill="1" applyBorder="1" applyAlignment="1" applyProtection="1">
      <alignment horizontal="center" vertical="center" wrapText="1"/>
      <protection hidden="1"/>
    </xf>
    <xf numFmtId="177" fontId="15" fillId="2" borderId="22" xfId="0" applyNumberFormat="1" applyFont="1" applyFill="1" applyBorder="1" applyAlignment="1" applyProtection="1">
      <alignment horizontal="center" vertical="center"/>
      <protection hidden="1"/>
    </xf>
    <xf numFmtId="0" fontId="22" fillId="2" borderId="0" xfId="0" applyFont="1" applyFill="1" applyAlignment="1" applyProtection="1">
      <alignment horizontal="left" vertical="center"/>
      <protection hidden="1"/>
    </xf>
    <xf numFmtId="0" fontId="0" fillId="2" borderId="0" xfId="0" applyFill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1" fillId="2" borderId="0" xfId="0" applyFont="1" applyFill="1" applyProtection="1">
      <alignment vertical="center"/>
      <protection hidden="1"/>
    </xf>
    <xf numFmtId="0" fontId="0" fillId="2" borderId="18" xfId="0" applyFill="1" applyBorder="1" applyAlignment="1" applyProtection="1">
      <alignment horizontal="center" vertical="center"/>
      <protection hidden="1"/>
    </xf>
    <xf numFmtId="0" fontId="0" fillId="2" borderId="20" xfId="0" applyFill="1" applyBorder="1" applyAlignment="1" applyProtection="1">
      <alignment horizontal="center" vertical="center"/>
      <protection hidden="1"/>
    </xf>
    <xf numFmtId="0" fontId="0" fillId="2" borderId="24" xfId="0" applyFill="1" applyBorder="1" applyAlignment="1" applyProtection="1">
      <alignment horizontal="center" vertical="center"/>
      <protection hidden="1"/>
    </xf>
    <xf numFmtId="0" fontId="19" fillId="2" borderId="0" xfId="0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Border="1" applyAlignment="1" applyProtection="1">
      <alignment horizontal="center" vertical="center" shrinkToFit="1"/>
      <protection hidden="1"/>
    </xf>
    <xf numFmtId="0" fontId="9" fillId="6" borderId="19" xfId="0" applyFont="1" applyFill="1" applyBorder="1" applyAlignment="1" applyProtection="1">
      <alignment horizontal="center" vertical="center" shrinkToFit="1"/>
      <protection locked="0"/>
    </xf>
    <xf numFmtId="0" fontId="0" fillId="6" borderId="25" xfId="0" applyFill="1" applyBorder="1" applyAlignment="1" applyProtection="1">
      <alignment horizontal="center" vertical="center"/>
      <protection locked="0"/>
    </xf>
    <xf numFmtId="0" fontId="0" fillId="6" borderId="36" xfId="0" applyFill="1" applyBorder="1" applyAlignment="1" applyProtection="1">
      <alignment horizontal="center" vertical="center"/>
      <protection locked="0"/>
    </xf>
    <xf numFmtId="3" fontId="12" fillId="2" borderId="19" xfId="0" applyNumberFormat="1" applyFont="1" applyFill="1" applyBorder="1" applyAlignment="1" applyProtection="1">
      <alignment horizontal="center" vertical="center" wrapText="1"/>
      <protection hidden="1"/>
    </xf>
    <xf numFmtId="177" fontId="15" fillId="2" borderId="6" xfId="0" applyNumberFormat="1" applyFont="1" applyFill="1" applyBorder="1" applyAlignment="1" applyProtection="1">
      <alignment horizontal="center" vertical="center"/>
      <protection hidden="1"/>
    </xf>
    <xf numFmtId="3" fontId="9" fillId="2" borderId="13" xfId="0" applyNumberFormat="1" applyFont="1" applyFill="1" applyBorder="1" applyAlignment="1" applyProtection="1">
      <alignment horizontal="center" vertical="center" wrapText="1"/>
      <protection hidden="1"/>
    </xf>
    <xf numFmtId="3" fontId="12" fillId="2" borderId="25" xfId="0" applyNumberFormat="1" applyFont="1" applyFill="1" applyBorder="1" applyAlignment="1" applyProtection="1">
      <alignment horizontal="center" vertical="center" wrapText="1"/>
      <protection hidden="1"/>
    </xf>
    <xf numFmtId="177" fontId="15" fillId="2" borderId="13" xfId="0" applyNumberFormat="1" applyFont="1" applyFill="1" applyBorder="1" applyAlignment="1" applyProtection="1">
      <alignment horizontal="center" vertical="center"/>
      <protection hidden="1"/>
    </xf>
    <xf numFmtId="41" fontId="13" fillId="2" borderId="25" xfId="0" applyNumberFormat="1" applyFont="1" applyFill="1" applyBorder="1" applyAlignment="1" applyProtection="1">
      <alignment horizontal="center" vertical="center"/>
      <protection hidden="1"/>
    </xf>
    <xf numFmtId="3" fontId="15" fillId="2" borderId="22" xfId="0" applyNumberFormat="1" applyFont="1" applyFill="1" applyBorder="1" applyAlignment="1" applyProtection="1">
      <alignment horizontal="center" vertical="center"/>
      <protection hidden="1"/>
    </xf>
    <xf numFmtId="3" fontId="15" fillId="2" borderId="13" xfId="0" applyNumberFormat="1" applyFont="1" applyFill="1" applyBorder="1" applyAlignment="1" applyProtection="1">
      <alignment horizontal="center" vertical="center"/>
      <protection hidden="1"/>
    </xf>
    <xf numFmtId="0" fontId="6" fillId="5" borderId="21" xfId="0" applyFont="1" applyFill="1" applyBorder="1" applyAlignment="1" applyProtection="1">
      <alignment horizontal="center" vertical="center"/>
      <protection hidden="1"/>
    </xf>
    <xf numFmtId="3" fontId="0" fillId="5" borderId="22" xfId="0" applyNumberFormat="1" applyFill="1" applyBorder="1" applyAlignment="1" applyProtection="1">
      <alignment horizontal="center" vertical="center"/>
      <protection hidden="1"/>
    </xf>
    <xf numFmtId="0" fontId="6" fillId="5" borderId="22" xfId="0" applyFont="1" applyFill="1" applyBorder="1" applyAlignment="1" applyProtection="1">
      <alignment horizontal="center" vertical="center"/>
      <protection hidden="1"/>
    </xf>
    <xf numFmtId="3" fontId="12" fillId="5" borderId="23" xfId="0" applyNumberFormat="1" applyFont="1" applyFill="1" applyBorder="1" applyAlignment="1" applyProtection="1">
      <alignment horizontal="center" vertical="center"/>
      <protection hidden="1"/>
    </xf>
    <xf numFmtId="3" fontId="10" fillId="5" borderId="22" xfId="0" applyNumberFormat="1" applyFont="1" applyFill="1" applyBorder="1" applyAlignment="1" applyProtection="1">
      <alignment horizontal="center" vertical="center"/>
      <protection hidden="1"/>
    </xf>
    <xf numFmtId="0" fontId="13" fillId="5" borderId="23" xfId="0" applyFont="1" applyFill="1" applyBorder="1" applyAlignment="1" applyProtection="1">
      <alignment horizontal="center" vertical="center"/>
      <protection hidden="1"/>
    </xf>
    <xf numFmtId="3" fontId="12" fillId="5" borderId="20" xfId="0" applyNumberFormat="1" applyFont="1" applyFill="1" applyBorder="1" applyProtection="1">
      <alignment vertical="center"/>
      <protection hidden="1"/>
    </xf>
    <xf numFmtId="0" fontId="9" fillId="7" borderId="23" xfId="0" applyFont="1" applyFill="1" applyBorder="1" applyAlignment="1" applyProtection="1">
      <alignment horizontal="center" vertical="center" shrinkToFit="1"/>
      <protection hidden="1"/>
    </xf>
    <xf numFmtId="0" fontId="29" fillId="2" borderId="0" xfId="0" applyFont="1" applyFill="1" applyProtection="1">
      <alignment vertical="center"/>
      <protection hidden="1"/>
    </xf>
    <xf numFmtId="0" fontId="29" fillId="2" borderId="0" xfId="0" applyFont="1" applyFill="1" applyBorder="1" applyAlignment="1" applyProtection="1">
      <alignment horizontal="center" vertical="center" shrinkToFit="1"/>
      <protection hidden="1"/>
    </xf>
    <xf numFmtId="0" fontId="29" fillId="2" borderId="0" xfId="0" applyFont="1" applyFill="1" applyAlignment="1" applyProtection="1">
      <alignment vertical="center"/>
      <protection hidden="1"/>
    </xf>
    <xf numFmtId="0" fontId="29" fillId="2" borderId="0" xfId="0" applyFont="1" applyFill="1" applyBorder="1" applyProtection="1">
      <alignment vertical="center"/>
      <protection hidden="1"/>
    </xf>
    <xf numFmtId="0" fontId="27" fillId="2" borderId="0" xfId="0" applyFont="1" applyFill="1" applyBorder="1" applyAlignment="1" applyProtection="1">
      <alignment vertical="center"/>
      <protection hidden="1"/>
    </xf>
    <xf numFmtId="0" fontId="29" fillId="0" borderId="0" xfId="0" applyFont="1" applyProtection="1">
      <alignment vertical="center"/>
      <protection hidden="1"/>
    </xf>
    <xf numFmtId="178" fontId="12" fillId="0" borderId="30" xfId="0" applyNumberFormat="1" applyFont="1" applyBorder="1" applyAlignment="1" applyProtection="1">
      <alignment horizontal="right" vertical="center"/>
      <protection hidden="1"/>
    </xf>
    <xf numFmtId="178" fontId="12" fillId="0" borderId="6" xfId="0" applyNumberFormat="1" applyFont="1" applyBorder="1" applyAlignment="1" applyProtection="1">
      <alignment horizontal="right" vertical="center"/>
      <protection hidden="1"/>
    </xf>
    <xf numFmtId="178" fontId="12" fillId="5" borderId="31" xfId="0" applyNumberFormat="1" applyFont="1" applyFill="1" applyBorder="1" applyAlignment="1" applyProtection="1">
      <alignment horizontal="right" vertical="center"/>
      <protection hidden="1"/>
    </xf>
    <xf numFmtId="178" fontId="12" fillId="5" borderId="22" xfId="0" applyNumberFormat="1" applyFont="1" applyFill="1" applyBorder="1" applyAlignment="1" applyProtection="1">
      <alignment horizontal="right" vertical="center"/>
      <protection hidden="1"/>
    </xf>
    <xf numFmtId="178" fontId="12" fillId="0" borderId="31" xfId="0" applyNumberFormat="1" applyFont="1" applyBorder="1" applyAlignment="1" applyProtection="1">
      <alignment horizontal="right" vertical="center"/>
      <protection hidden="1"/>
    </xf>
    <xf numFmtId="178" fontId="12" fillId="0" borderId="22" xfId="0" applyNumberFormat="1" applyFont="1" applyBorder="1" applyAlignment="1" applyProtection="1">
      <alignment horizontal="right" vertical="center"/>
      <protection hidden="1"/>
    </xf>
    <xf numFmtId="178" fontId="12" fillId="0" borderId="32" xfId="0" applyNumberFormat="1" applyFont="1" applyBorder="1" applyAlignment="1" applyProtection="1">
      <alignment horizontal="right" vertical="center"/>
      <protection hidden="1"/>
    </xf>
    <xf numFmtId="178" fontId="12" fillId="0" borderId="13" xfId="0" applyNumberFormat="1" applyFont="1" applyBorder="1" applyAlignment="1" applyProtection="1">
      <alignment horizontal="right" vertical="center"/>
      <protection hidden="1"/>
    </xf>
    <xf numFmtId="178" fontId="12" fillId="2" borderId="5" xfId="0" applyNumberFormat="1" applyFont="1" applyFill="1" applyBorder="1" applyAlignment="1" applyProtection="1">
      <alignment horizontal="right" vertical="center"/>
      <protection hidden="1"/>
    </xf>
    <xf numFmtId="178" fontId="12" fillId="2" borderId="6" xfId="0" applyNumberFormat="1" applyFont="1" applyFill="1" applyBorder="1" applyAlignment="1" applyProtection="1">
      <alignment horizontal="right" vertical="center"/>
      <protection hidden="1"/>
    </xf>
    <xf numFmtId="178" fontId="12" fillId="2" borderId="21" xfId="0" applyNumberFormat="1" applyFont="1" applyFill="1" applyBorder="1" applyAlignment="1" applyProtection="1">
      <alignment horizontal="right" vertical="center"/>
      <protection hidden="1"/>
    </xf>
    <xf numFmtId="178" fontId="12" fillId="2" borderId="22" xfId="0" applyNumberFormat="1" applyFont="1" applyFill="1" applyBorder="1" applyAlignment="1" applyProtection="1">
      <alignment horizontal="right" vertical="center"/>
      <protection hidden="1"/>
    </xf>
    <xf numFmtId="178" fontId="12" fillId="2" borderId="12" xfId="0" applyNumberFormat="1" applyFont="1" applyFill="1" applyBorder="1" applyAlignment="1" applyProtection="1">
      <alignment horizontal="right" vertical="center"/>
      <protection hidden="1"/>
    </xf>
    <xf numFmtId="178" fontId="12" fillId="2" borderId="13" xfId="0" applyNumberFormat="1" applyFont="1" applyFill="1" applyBorder="1" applyAlignment="1" applyProtection="1">
      <alignment horizontal="right" vertical="center"/>
      <protection hidden="1"/>
    </xf>
    <xf numFmtId="178" fontId="12" fillId="2" borderId="26" xfId="0" applyNumberFormat="1" applyFont="1" applyFill="1" applyBorder="1" applyAlignment="1" applyProtection="1">
      <alignment horizontal="right" vertical="center"/>
      <protection hidden="1"/>
    </xf>
    <xf numFmtId="178" fontId="12" fillId="2" borderId="34" xfId="0" applyNumberFormat="1" applyFont="1" applyFill="1" applyBorder="1" applyAlignment="1" applyProtection="1">
      <alignment horizontal="right" vertical="center"/>
      <protection hidden="1"/>
    </xf>
    <xf numFmtId="0" fontId="21" fillId="2" borderId="0" xfId="0" applyFont="1" applyFill="1" applyAlignment="1" applyProtection="1">
      <alignment horizontal="left" vertical="center"/>
      <protection hidden="1"/>
    </xf>
    <xf numFmtId="3" fontId="9" fillId="2" borderId="35" xfId="0" applyNumberFormat="1" applyFont="1" applyFill="1" applyBorder="1" applyAlignment="1" applyProtection="1">
      <alignment horizontal="center" vertical="center" wrapText="1"/>
      <protection hidden="1"/>
    </xf>
    <xf numFmtId="3" fontId="12" fillId="2" borderId="36" xfId="0" applyNumberFormat="1" applyFont="1" applyFill="1" applyBorder="1" applyAlignment="1" applyProtection="1">
      <alignment horizontal="center" vertical="center" wrapText="1"/>
      <protection hidden="1"/>
    </xf>
    <xf numFmtId="178" fontId="12" fillId="2" borderId="35" xfId="0" applyNumberFormat="1" applyFont="1" applyFill="1" applyBorder="1" applyAlignment="1" applyProtection="1">
      <alignment horizontal="right" vertical="center"/>
      <protection hidden="1"/>
    </xf>
    <xf numFmtId="177" fontId="15" fillId="2" borderId="35" xfId="0" applyNumberFormat="1" applyFont="1" applyFill="1" applyBorder="1" applyAlignment="1" applyProtection="1">
      <alignment horizontal="center" vertical="center"/>
      <protection hidden="1"/>
    </xf>
    <xf numFmtId="41" fontId="13" fillId="2" borderId="36" xfId="0" applyNumberFormat="1" applyFont="1" applyFill="1" applyBorder="1" applyAlignment="1" applyProtection="1">
      <alignment horizontal="center" vertical="center"/>
      <protection hidden="1"/>
    </xf>
    <xf numFmtId="3" fontId="0" fillId="2" borderId="35" xfId="0" applyNumberFormat="1" applyFill="1" applyBorder="1" applyAlignment="1" applyProtection="1">
      <alignment horizontal="center" vertical="center"/>
      <protection hidden="1"/>
    </xf>
    <xf numFmtId="3" fontId="12" fillId="2" borderId="36" xfId="0" applyNumberFormat="1" applyFont="1" applyFill="1" applyBorder="1" applyAlignment="1" applyProtection="1">
      <alignment horizontal="center" vertical="center"/>
      <protection hidden="1"/>
    </xf>
    <xf numFmtId="3" fontId="0" fillId="2" borderId="27" xfId="0" applyNumberFormat="1" applyFill="1" applyBorder="1" applyAlignment="1" applyProtection="1">
      <alignment horizontal="center" vertical="center"/>
      <protection hidden="1"/>
    </xf>
    <xf numFmtId="3" fontId="12" fillId="2" borderId="29" xfId="0" applyNumberFormat="1" applyFont="1" applyFill="1" applyBorder="1" applyAlignment="1" applyProtection="1">
      <alignment horizontal="center" vertical="center"/>
      <protection hidden="1"/>
    </xf>
    <xf numFmtId="178" fontId="12" fillId="2" borderId="27" xfId="0" applyNumberFormat="1" applyFont="1" applyFill="1" applyBorder="1" applyAlignment="1" applyProtection="1">
      <alignment horizontal="right" vertical="center"/>
      <protection hidden="1"/>
    </xf>
    <xf numFmtId="3" fontId="15" fillId="2" borderId="27" xfId="0" applyNumberFormat="1" applyFont="1" applyFill="1" applyBorder="1" applyAlignment="1" applyProtection="1">
      <alignment horizontal="center" vertical="center"/>
      <protection hidden="1"/>
    </xf>
    <xf numFmtId="0" fontId="13" fillId="2" borderId="29" xfId="0" applyFont="1" applyFill="1" applyBorder="1" applyAlignment="1" applyProtection="1">
      <alignment horizontal="center" vertical="center"/>
      <protection hidden="1"/>
    </xf>
    <xf numFmtId="179" fontId="12" fillId="2" borderId="21" xfId="0" applyNumberFormat="1" applyFont="1" applyFill="1" applyBorder="1" applyAlignment="1" applyProtection="1">
      <alignment horizontal="right" vertical="center"/>
      <protection hidden="1"/>
    </xf>
    <xf numFmtId="179" fontId="12" fillId="2" borderId="26" xfId="0" applyNumberFormat="1" applyFont="1" applyFill="1" applyBorder="1" applyAlignment="1" applyProtection="1">
      <alignment horizontal="right" vertical="center"/>
      <protection hidden="1"/>
    </xf>
    <xf numFmtId="179" fontId="12" fillId="2" borderId="12" xfId="0" applyNumberFormat="1" applyFont="1" applyFill="1" applyBorder="1" applyAlignment="1" applyProtection="1">
      <alignment horizontal="right" vertical="center"/>
      <protection hidden="1"/>
    </xf>
    <xf numFmtId="0" fontId="2" fillId="2" borderId="0" xfId="0" applyFont="1" applyFill="1" applyBorder="1" applyProtection="1">
      <alignment vertical="center"/>
      <protection hidden="1"/>
    </xf>
    <xf numFmtId="0" fontId="11" fillId="2" borderId="0" xfId="0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Border="1" applyProtection="1">
      <alignment vertical="center"/>
      <protection hidden="1"/>
    </xf>
    <xf numFmtId="38" fontId="37" fillId="2" borderId="0" xfId="0" applyNumberFormat="1" applyFont="1" applyFill="1" applyBorder="1" applyAlignment="1" applyProtection="1">
      <alignment horizontal="center" vertical="center" wrapText="1"/>
      <protection hidden="1"/>
    </xf>
    <xf numFmtId="38" fontId="37" fillId="2" borderId="0" xfId="0" applyNumberFormat="1" applyFont="1" applyFill="1" applyBorder="1" applyAlignment="1" applyProtection="1">
      <alignment horizontal="center" vertical="center"/>
      <protection hidden="1"/>
    </xf>
    <xf numFmtId="178" fontId="37" fillId="2" borderId="0" xfId="0" applyNumberFormat="1" applyFont="1" applyFill="1" applyBorder="1" applyAlignment="1" applyProtection="1">
      <alignment horizontal="center" vertical="center" wrapText="1"/>
      <protection hidden="1"/>
    </xf>
    <xf numFmtId="178" fontId="37" fillId="2" borderId="0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vertical="center" shrinkToFit="1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8" fillId="2" borderId="0" xfId="0" applyFont="1" applyFill="1" applyProtection="1">
      <alignment vertical="center"/>
      <protection hidden="1"/>
    </xf>
    <xf numFmtId="0" fontId="18" fillId="2" borderId="0" xfId="0" applyFont="1" applyFill="1" applyProtection="1">
      <alignment vertical="center"/>
      <protection hidden="1"/>
    </xf>
    <xf numFmtId="0" fontId="8" fillId="2" borderId="0" xfId="0" applyFont="1" applyFill="1" applyAlignment="1" applyProtection="1">
      <alignment vertical="top"/>
      <protection hidden="1"/>
    </xf>
    <xf numFmtId="176" fontId="0" fillId="2" borderId="0" xfId="0" applyNumberFormat="1" applyFill="1" applyBorder="1" applyAlignment="1" applyProtection="1">
      <alignment horizontal="center" vertical="center"/>
      <protection hidden="1"/>
    </xf>
    <xf numFmtId="0" fontId="0" fillId="2" borderId="18" xfId="0" applyFill="1" applyBorder="1" applyProtection="1">
      <alignment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177" fontId="0" fillId="2" borderId="0" xfId="0" applyNumberFormat="1" applyFill="1" applyAlignment="1" applyProtection="1">
      <alignment horizontal="center" vertical="center"/>
      <protection hidden="1"/>
    </xf>
    <xf numFmtId="0" fontId="9" fillId="2" borderId="5" xfId="0" applyFont="1" applyFill="1" applyBorder="1" applyAlignment="1" applyProtection="1">
      <alignment horizontal="center" vertical="center" wrapText="1"/>
      <protection hidden="1"/>
    </xf>
    <xf numFmtId="0" fontId="9" fillId="2" borderId="34" xfId="0" applyFont="1" applyFill="1" applyBorder="1" applyAlignment="1" applyProtection="1">
      <alignment horizontal="center" vertical="center" wrapText="1"/>
      <protection hidden="1"/>
    </xf>
    <xf numFmtId="179" fontId="9" fillId="2" borderId="6" xfId="0" applyNumberFormat="1" applyFont="1" applyFill="1" applyBorder="1" applyAlignment="1" applyProtection="1">
      <alignment horizontal="center" vertical="center" wrapText="1"/>
      <protection hidden="1"/>
    </xf>
    <xf numFmtId="179" fontId="14" fillId="2" borderId="6" xfId="0" applyNumberFormat="1" applyFont="1" applyFill="1" applyBorder="1" applyAlignment="1" applyProtection="1">
      <alignment horizontal="center" vertical="center" wrapText="1"/>
      <protection hidden="1"/>
    </xf>
    <xf numFmtId="179" fontId="8" fillId="2" borderId="6" xfId="0" applyNumberFormat="1" applyFont="1" applyFill="1" applyBorder="1" applyAlignment="1" applyProtection="1">
      <alignment horizontal="center" vertical="center" wrapText="1"/>
      <protection hidden="1"/>
    </xf>
    <xf numFmtId="179" fontId="8" fillId="2" borderId="22" xfId="0" applyNumberFormat="1" applyFont="1" applyFill="1" applyBorder="1" applyAlignment="1" applyProtection="1">
      <alignment horizontal="center" vertical="center" wrapText="1"/>
      <protection hidden="1"/>
    </xf>
    <xf numFmtId="179" fontId="9" fillId="2" borderId="22" xfId="0" applyNumberFormat="1" applyFont="1" applyFill="1" applyBorder="1" applyAlignment="1" applyProtection="1">
      <alignment horizontal="center" vertical="center" wrapText="1"/>
      <protection hidden="1"/>
    </xf>
    <xf numFmtId="179" fontId="14" fillId="2" borderId="22" xfId="0" applyNumberFormat="1" applyFont="1" applyFill="1" applyBorder="1" applyAlignment="1" applyProtection="1">
      <alignment horizontal="center" vertical="center" wrapText="1"/>
      <protection hidden="1"/>
    </xf>
    <xf numFmtId="179" fontId="8" fillId="2" borderId="13" xfId="0" applyNumberFormat="1" applyFont="1" applyFill="1" applyBorder="1" applyAlignment="1" applyProtection="1">
      <alignment horizontal="center" vertical="center" wrapText="1"/>
      <protection hidden="1"/>
    </xf>
    <xf numFmtId="179" fontId="0" fillId="2" borderId="22" xfId="0" applyNumberFormat="1" applyFill="1" applyBorder="1" applyAlignment="1" applyProtection="1">
      <alignment horizontal="center" vertical="center"/>
      <protection hidden="1"/>
    </xf>
    <xf numFmtId="179" fontId="14" fillId="2" borderId="13" xfId="0" applyNumberFormat="1" applyFont="1" applyFill="1" applyBorder="1" applyAlignment="1" applyProtection="1">
      <alignment horizontal="center" vertical="center" wrapText="1"/>
      <protection hidden="1"/>
    </xf>
    <xf numFmtId="179" fontId="0" fillId="2" borderId="13" xfId="0" applyNumberFormat="1" applyFill="1" applyBorder="1" applyAlignment="1" applyProtection="1">
      <alignment horizontal="center" vertical="center"/>
      <protection hidden="1"/>
    </xf>
    <xf numFmtId="179" fontId="14" fillId="2" borderId="35" xfId="0" applyNumberFormat="1" applyFont="1" applyFill="1" applyBorder="1" applyAlignment="1" applyProtection="1">
      <alignment horizontal="center" vertical="center" wrapText="1"/>
      <protection hidden="1"/>
    </xf>
    <xf numFmtId="0" fontId="39" fillId="9" borderId="7" xfId="0" applyFont="1" applyFill="1" applyBorder="1" applyAlignment="1" applyProtection="1">
      <alignment horizontal="center" vertical="center" wrapText="1"/>
      <protection hidden="1"/>
    </xf>
    <xf numFmtId="0" fontId="40" fillId="9" borderId="14" xfId="0" applyFont="1" applyFill="1" applyBorder="1" applyAlignment="1" applyProtection="1">
      <alignment horizontal="center" vertical="center" wrapText="1"/>
      <protection hidden="1"/>
    </xf>
    <xf numFmtId="0" fontId="41" fillId="9" borderId="14" xfId="0" applyFont="1" applyFill="1" applyBorder="1" applyAlignment="1" applyProtection="1">
      <alignment horizontal="center" vertical="center" wrapText="1"/>
      <protection hidden="1"/>
    </xf>
    <xf numFmtId="0" fontId="39" fillId="9" borderId="19" xfId="0" applyFont="1" applyFill="1" applyBorder="1" applyAlignment="1" applyProtection="1">
      <alignment horizontal="center" vertical="center" wrapText="1"/>
      <protection hidden="1"/>
    </xf>
    <xf numFmtId="0" fontId="40" fillId="9" borderId="28" xfId="0" applyFont="1" applyFill="1" applyBorder="1" applyAlignment="1" applyProtection="1">
      <alignment horizontal="center" vertical="center" wrapText="1"/>
      <protection hidden="1"/>
    </xf>
    <xf numFmtId="0" fontId="41" fillId="9" borderId="29" xfId="0" applyFont="1" applyFill="1" applyBorder="1" applyAlignment="1" applyProtection="1">
      <alignment horizontal="center" vertical="center" wrapText="1"/>
      <protection hidden="1"/>
    </xf>
    <xf numFmtId="3" fontId="17" fillId="0" borderId="6" xfId="0" applyNumberFormat="1" applyFont="1" applyBorder="1" applyAlignment="1" applyProtection="1">
      <alignment horizontal="center" vertical="center"/>
      <protection hidden="1"/>
    </xf>
    <xf numFmtId="3" fontId="17" fillId="5" borderId="22" xfId="0" applyNumberFormat="1" applyFont="1" applyFill="1" applyBorder="1" applyAlignment="1" applyProtection="1">
      <alignment horizontal="center" vertical="center"/>
      <protection hidden="1"/>
    </xf>
    <xf numFmtId="3" fontId="17" fillId="0" borderId="22" xfId="0" applyNumberFormat="1" applyFont="1" applyBorder="1" applyAlignment="1" applyProtection="1">
      <alignment horizontal="center" vertical="center"/>
      <protection hidden="1"/>
    </xf>
    <xf numFmtId="3" fontId="17" fillId="0" borderId="13" xfId="0" applyNumberFormat="1" applyFont="1" applyBorder="1" applyAlignment="1" applyProtection="1">
      <alignment horizontal="center" vertical="center"/>
      <protection hidden="1"/>
    </xf>
    <xf numFmtId="0" fontId="6" fillId="2" borderId="0" xfId="0" applyFont="1" applyFill="1" applyProtection="1">
      <alignment vertical="center"/>
      <protection hidden="1"/>
    </xf>
    <xf numFmtId="0" fontId="42" fillId="2" borderId="0" xfId="0" applyFont="1" applyFill="1" applyProtection="1">
      <alignment vertical="center"/>
      <protection hidden="1"/>
    </xf>
    <xf numFmtId="0" fontId="37" fillId="2" borderId="0" xfId="0" applyFont="1" applyFill="1" applyBorder="1" applyProtection="1">
      <alignment vertical="center"/>
      <protection hidden="1"/>
    </xf>
    <xf numFmtId="0" fontId="0" fillId="2" borderId="5" xfId="0" applyFill="1" applyBorder="1" applyAlignment="1" applyProtection="1">
      <alignment horizontal="center" vertical="center"/>
      <protection hidden="1"/>
    </xf>
    <xf numFmtId="0" fontId="44" fillId="2" borderId="0" xfId="0" applyFont="1" applyFill="1" applyBorder="1" applyProtection="1">
      <alignment vertical="center"/>
      <protection hidden="1"/>
    </xf>
    <xf numFmtId="0" fontId="44" fillId="2" borderId="0" xfId="0" applyFont="1" applyFill="1" applyBorder="1" applyAlignment="1" applyProtection="1">
      <alignment horizontal="center" vertical="center"/>
      <protection hidden="1"/>
    </xf>
    <xf numFmtId="176" fontId="45" fillId="2" borderId="0" xfId="0" applyNumberFormat="1" applyFont="1" applyFill="1" applyBorder="1" applyProtection="1">
      <alignment vertical="center"/>
      <protection hidden="1"/>
    </xf>
    <xf numFmtId="176" fontId="45" fillId="2" borderId="0" xfId="0" applyNumberFormat="1" applyFont="1" applyFill="1" applyBorder="1" applyAlignment="1" applyProtection="1">
      <alignment horizontal="center" vertical="center"/>
      <protection hidden="1"/>
    </xf>
    <xf numFmtId="178" fontId="44" fillId="2" borderId="0" xfId="0" applyNumberFormat="1" applyFont="1" applyFill="1" applyBorder="1" applyAlignment="1" applyProtection="1">
      <alignment horizontal="center" vertical="center" wrapText="1"/>
      <protection hidden="1"/>
    </xf>
    <xf numFmtId="178" fontId="44" fillId="2" borderId="0" xfId="0" applyNumberFormat="1" applyFont="1" applyFill="1" applyBorder="1" applyAlignment="1" applyProtection="1">
      <alignment horizontal="center" vertical="center"/>
      <protection hidden="1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14" fillId="2" borderId="6" xfId="0" applyFont="1" applyFill="1" applyBorder="1" applyAlignment="1" applyProtection="1">
      <alignment horizontal="center" vertical="center" wrapText="1"/>
      <protection locked="0"/>
    </xf>
    <xf numFmtId="179" fontId="0" fillId="2" borderId="35" xfId="0" applyNumberFormat="1" applyFill="1" applyBorder="1" applyAlignment="1" applyProtection="1">
      <alignment horizontal="center" vertical="center"/>
      <protection hidden="1"/>
    </xf>
    <xf numFmtId="0" fontId="9" fillId="2" borderId="26" xfId="0" applyFont="1" applyFill="1" applyBorder="1" applyAlignment="1" applyProtection="1">
      <alignment horizontal="center" vertical="center" wrapText="1"/>
      <protection locked="0"/>
    </xf>
    <xf numFmtId="0" fontId="14" fillId="2" borderId="27" xfId="0" applyFont="1" applyFill="1" applyBorder="1" applyAlignment="1" applyProtection="1">
      <alignment horizontal="center" vertical="center" wrapText="1"/>
      <protection locked="0"/>
    </xf>
    <xf numFmtId="179" fontId="8" fillId="2" borderId="27" xfId="0" applyNumberFormat="1" applyFont="1" applyFill="1" applyBorder="1" applyAlignment="1" applyProtection="1">
      <alignment horizontal="center" vertical="center" wrapText="1"/>
      <protection hidden="1"/>
    </xf>
    <xf numFmtId="3" fontId="9" fillId="2" borderId="27" xfId="0" applyNumberFormat="1" applyFont="1" applyFill="1" applyBorder="1" applyAlignment="1" applyProtection="1">
      <alignment horizontal="center" vertical="center" wrapText="1"/>
      <protection hidden="1"/>
    </xf>
    <xf numFmtId="3" fontId="12" fillId="2" borderId="29" xfId="0" applyNumberFormat="1" applyFont="1" applyFill="1" applyBorder="1" applyAlignment="1" applyProtection="1">
      <alignment horizontal="center" vertical="center" wrapText="1"/>
      <protection hidden="1"/>
    </xf>
    <xf numFmtId="177" fontId="15" fillId="2" borderId="27" xfId="0" applyNumberFormat="1" applyFont="1" applyFill="1" applyBorder="1" applyAlignment="1" applyProtection="1">
      <alignment horizontal="center" vertical="center"/>
      <protection hidden="1"/>
    </xf>
    <xf numFmtId="41" fontId="13" fillId="2" borderId="29" xfId="0" applyNumberFormat="1" applyFont="1" applyFill="1" applyBorder="1" applyAlignment="1" applyProtection="1">
      <alignment horizontal="center" vertical="center"/>
      <protection hidden="1"/>
    </xf>
    <xf numFmtId="179" fontId="35" fillId="2" borderId="6" xfId="0" applyNumberFormat="1" applyFont="1" applyFill="1" applyBorder="1" applyAlignment="1" applyProtection="1">
      <alignment horizontal="center" vertical="center" wrapText="1"/>
      <protection hidden="1"/>
    </xf>
    <xf numFmtId="0" fontId="48" fillId="12" borderId="7" xfId="0" applyFont="1" applyFill="1" applyBorder="1" applyAlignment="1" applyProtection="1">
      <alignment horizontal="center" vertical="center" wrapText="1"/>
      <protection hidden="1"/>
    </xf>
    <xf numFmtId="0" fontId="52" fillId="12" borderId="14" xfId="0" applyFont="1" applyFill="1" applyBorder="1" applyAlignment="1" applyProtection="1">
      <alignment horizontal="center" vertical="center" wrapText="1"/>
      <protection hidden="1"/>
    </xf>
    <xf numFmtId="0" fontId="53" fillId="12" borderId="14" xfId="0" applyFont="1" applyFill="1" applyBorder="1" applyAlignment="1" applyProtection="1">
      <alignment horizontal="center" vertical="center" wrapText="1"/>
      <protection hidden="1"/>
    </xf>
    <xf numFmtId="0" fontId="48" fillId="12" borderId="19" xfId="0" applyFont="1" applyFill="1" applyBorder="1" applyAlignment="1" applyProtection="1">
      <alignment horizontal="center" vertical="center" wrapText="1"/>
      <protection hidden="1"/>
    </xf>
    <xf numFmtId="0" fontId="53" fillId="12" borderId="25" xfId="0" applyFont="1" applyFill="1" applyBorder="1" applyAlignment="1" applyProtection="1">
      <alignment horizontal="center" vertical="center" wrapText="1"/>
      <protection hidden="1"/>
    </xf>
    <xf numFmtId="3" fontId="15" fillId="2" borderId="35" xfId="0" applyNumberFormat="1" applyFont="1" applyFill="1" applyBorder="1" applyAlignment="1" applyProtection="1">
      <alignment horizontal="center" vertical="center"/>
      <protection hidden="1"/>
    </xf>
    <xf numFmtId="0" fontId="13" fillId="2" borderId="36" xfId="0" applyFont="1" applyFill="1" applyBorder="1" applyAlignment="1" applyProtection="1">
      <alignment horizontal="center" vertical="center"/>
      <protection hidden="1"/>
    </xf>
    <xf numFmtId="179" fontId="6" fillId="2" borderId="6" xfId="0" applyNumberFormat="1" applyFont="1" applyFill="1" applyBorder="1" applyAlignment="1" applyProtection="1">
      <alignment horizontal="center" vertical="center"/>
      <protection hidden="1"/>
    </xf>
    <xf numFmtId="179" fontId="8" fillId="2" borderId="35" xfId="0" applyNumberFormat="1" applyFont="1" applyFill="1" applyBorder="1" applyAlignment="1" applyProtection="1">
      <alignment horizontal="center" vertical="center"/>
      <protection hidden="1"/>
    </xf>
    <xf numFmtId="0" fontId="8" fillId="2" borderId="21" xfId="0" applyFont="1" applyFill="1" applyBorder="1" applyAlignment="1" applyProtection="1">
      <alignment horizontal="center" vertical="center" wrapText="1"/>
      <protection hidden="1"/>
    </xf>
    <xf numFmtId="179" fontId="9" fillId="2" borderId="6" xfId="0" applyNumberFormat="1" applyFont="1" applyFill="1" applyBorder="1" applyAlignment="1" applyProtection="1">
      <alignment horizontal="center" vertical="center"/>
      <protection hidden="1"/>
    </xf>
    <xf numFmtId="0" fontId="8" fillId="2" borderId="12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Alignment="1" applyProtection="1">
      <alignment vertical="center" wrapText="1"/>
      <protection hidden="1"/>
    </xf>
    <xf numFmtId="0" fontId="9" fillId="2" borderId="0" xfId="0" applyFont="1" applyFill="1" applyProtection="1">
      <alignment vertical="center"/>
      <protection hidden="1"/>
    </xf>
    <xf numFmtId="0" fontId="0" fillId="15" borderId="25" xfId="0" applyFill="1" applyBorder="1" applyAlignment="1" applyProtection="1">
      <alignment horizontal="center" vertical="center"/>
      <protection locked="0"/>
    </xf>
    <xf numFmtId="0" fontId="45" fillId="2" borderId="0" xfId="0" applyFont="1" applyFill="1" applyProtection="1">
      <alignment vertical="center"/>
      <protection hidden="1"/>
    </xf>
    <xf numFmtId="178" fontId="9" fillId="2" borderId="6" xfId="0" applyNumberFormat="1" applyFont="1" applyFill="1" applyBorder="1" applyAlignment="1" applyProtection="1">
      <alignment horizontal="right" vertical="center" wrapText="1"/>
      <protection locked="0"/>
    </xf>
    <xf numFmtId="179" fontId="9" fillId="2" borderId="6" xfId="0" applyNumberFormat="1" applyFont="1" applyFill="1" applyBorder="1" applyAlignment="1" applyProtection="1">
      <alignment horizontal="right" vertical="center" wrapText="1"/>
      <protection hidden="1"/>
    </xf>
    <xf numFmtId="179" fontId="9" fillId="2" borderId="35" xfId="0" applyNumberFormat="1" applyFont="1" applyFill="1" applyBorder="1" applyAlignment="1" applyProtection="1">
      <alignment horizontal="right" vertical="center" wrapText="1"/>
      <protection hidden="1"/>
    </xf>
    <xf numFmtId="179" fontId="9" fillId="2" borderId="22" xfId="0" applyNumberFormat="1" applyFont="1" applyFill="1" applyBorder="1" applyAlignment="1" applyProtection="1">
      <alignment horizontal="right" vertical="center" wrapText="1"/>
      <protection hidden="1"/>
    </xf>
    <xf numFmtId="179" fontId="9" fillId="2" borderId="13" xfId="0" applyNumberFormat="1" applyFont="1" applyFill="1" applyBorder="1" applyAlignment="1" applyProtection="1">
      <alignment horizontal="right" vertical="center" wrapText="1"/>
      <protection hidden="1"/>
    </xf>
    <xf numFmtId="0" fontId="0" fillId="2" borderId="0" xfId="0" applyFill="1" applyProtection="1">
      <alignment vertical="center"/>
    </xf>
    <xf numFmtId="0" fontId="0" fillId="0" borderId="0" xfId="0" applyProtection="1">
      <alignment vertical="center"/>
    </xf>
    <xf numFmtId="0" fontId="0" fillId="2" borderId="0" xfId="0" applyFill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4" fillId="2" borderId="0" xfId="0" applyFont="1" applyFill="1" applyBorder="1" applyAlignment="1" applyProtection="1">
      <alignment horizontal="center" vertical="center" shrinkToFit="1"/>
    </xf>
    <xf numFmtId="0" fontId="6" fillId="2" borderId="0" xfId="0" applyFont="1" applyFill="1" applyAlignment="1" applyProtection="1">
      <alignment vertical="center"/>
    </xf>
    <xf numFmtId="0" fontId="9" fillId="2" borderId="0" xfId="0" applyFont="1" applyFill="1" applyBorder="1" applyAlignment="1" applyProtection="1">
      <alignment horizontal="center" vertical="center" shrinkToFit="1"/>
    </xf>
    <xf numFmtId="0" fontId="8" fillId="2" borderId="0" xfId="0" applyFont="1" applyFill="1" applyProtection="1">
      <alignment vertical="center"/>
    </xf>
    <xf numFmtId="0" fontId="18" fillId="2" borderId="0" xfId="0" applyFont="1" applyFill="1" applyProtection="1">
      <alignment vertical="center"/>
    </xf>
    <xf numFmtId="0" fontId="8" fillId="2" borderId="0" xfId="0" applyFont="1" applyFill="1" applyAlignment="1" applyProtection="1">
      <alignment vertical="top"/>
    </xf>
    <xf numFmtId="176" fontId="0" fillId="2" borderId="0" xfId="0" applyNumberFormat="1" applyFill="1" applyBorder="1" applyAlignment="1" applyProtection="1">
      <alignment horizontal="center" vertical="center"/>
    </xf>
    <xf numFmtId="0" fontId="48" fillId="17" borderId="7" xfId="0" applyFont="1" applyFill="1" applyBorder="1" applyAlignment="1" applyProtection="1">
      <alignment horizontal="center" vertical="center" wrapText="1"/>
    </xf>
    <xf numFmtId="0" fontId="55" fillId="17" borderId="14" xfId="0" applyFont="1" applyFill="1" applyBorder="1" applyAlignment="1" applyProtection="1">
      <alignment horizontal="center" vertical="center" wrapText="1"/>
      <protection hidden="1"/>
    </xf>
    <xf numFmtId="0" fontId="53" fillId="17" borderId="14" xfId="0" applyFont="1" applyFill="1" applyBorder="1" applyAlignment="1" applyProtection="1">
      <alignment horizontal="center" vertical="center" wrapText="1"/>
    </xf>
    <xf numFmtId="3" fontId="56" fillId="0" borderId="6" xfId="0" applyNumberFormat="1" applyFont="1" applyBorder="1" applyAlignment="1" applyProtection="1">
      <alignment horizontal="center" vertical="center"/>
      <protection hidden="1"/>
    </xf>
    <xf numFmtId="0" fontId="0" fillId="2" borderId="18" xfId="0" applyFill="1" applyBorder="1" applyProtection="1">
      <alignment vertical="center"/>
      <protection locked="0" hidden="1"/>
    </xf>
    <xf numFmtId="3" fontId="56" fillId="5" borderId="22" xfId="0" applyNumberFormat="1" applyFont="1" applyFill="1" applyBorder="1" applyAlignment="1" applyProtection="1">
      <alignment horizontal="center" vertical="center"/>
      <protection hidden="1"/>
    </xf>
    <xf numFmtId="3" fontId="56" fillId="0" borderId="22" xfId="0" applyNumberFormat="1" applyFont="1" applyBorder="1" applyAlignment="1" applyProtection="1">
      <alignment horizontal="center" vertical="center"/>
      <protection hidden="1"/>
    </xf>
    <xf numFmtId="3" fontId="56" fillId="0" borderId="13" xfId="0" applyNumberFormat="1" applyFont="1" applyBorder="1" applyAlignment="1" applyProtection="1">
      <alignment horizontal="center" vertical="center"/>
      <protection hidden="1"/>
    </xf>
    <xf numFmtId="0" fontId="48" fillId="17" borderId="19" xfId="0" applyFont="1" applyFill="1" applyBorder="1" applyAlignment="1" applyProtection="1">
      <alignment horizontal="center" vertical="center" wrapText="1"/>
    </xf>
    <xf numFmtId="0" fontId="55" fillId="17" borderId="28" xfId="0" applyFont="1" applyFill="1" applyBorder="1" applyAlignment="1" applyProtection="1">
      <alignment horizontal="center" vertical="center" wrapText="1"/>
      <protection hidden="1"/>
    </xf>
    <xf numFmtId="0" fontId="53" fillId="17" borderId="29" xfId="0" applyFont="1" applyFill="1" applyBorder="1" applyAlignment="1" applyProtection="1">
      <alignment horizontal="center" vertical="center" wrapText="1"/>
    </xf>
    <xf numFmtId="3" fontId="45" fillId="2" borderId="0" xfId="0" applyNumberFormat="1" applyFont="1" applyFill="1" applyBorder="1" applyAlignment="1" applyProtection="1">
      <alignment horizontal="center" vertical="center" wrapText="1"/>
      <protection hidden="1"/>
    </xf>
    <xf numFmtId="3" fontId="14" fillId="2" borderId="6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6" xfId="0" applyFont="1" applyFill="1" applyBorder="1" applyAlignment="1" applyProtection="1">
      <alignment horizontal="center" vertical="center" wrapText="1"/>
      <protection hidden="1"/>
    </xf>
    <xf numFmtId="176" fontId="9" fillId="2" borderId="6" xfId="0" applyNumberFormat="1" applyFont="1" applyFill="1" applyBorder="1" applyAlignment="1" applyProtection="1">
      <alignment horizontal="center" vertical="center" wrapText="1"/>
      <protection hidden="1"/>
    </xf>
    <xf numFmtId="3" fontId="14" fillId="2" borderId="22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22" xfId="0" applyFont="1" applyFill="1" applyBorder="1" applyAlignment="1" applyProtection="1">
      <alignment horizontal="center" vertical="center" wrapText="1"/>
      <protection hidden="1"/>
    </xf>
    <xf numFmtId="176" fontId="9" fillId="2" borderId="22" xfId="0" applyNumberFormat="1" applyFont="1" applyFill="1" applyBorder="1" applyAlignment="1" applyProtection="1">
      <alignment horizontal="center" vertical="center" wrapText="1"/>
      <protection hidden="1"/>
    </xf>
    <xf numFmtId="3" fontId="57" fillId="2" borderId="22" xfId="0" applyNumberFormat="1" applyFont="1" applyFill="1" applyBorder="1" applyAlignment="1" applyProtection="1">
      <alignment horizontal="center" vertical="center" wrapText="1"/>
      <protection hidden="1"/>
    </xf>
    <xf numFmtId="3" fontId="57" fillId="2" borderId="13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13" xfId="0" applyFont="1" applyFill="1" applyBorder="1" applyAlignment="1" applyProtection="1">
      <alignment horizontal="center" vertical="center" wrapText="1"/>
      <protection hidden="1"/>
    </xf>
    <xf numFmtId="3" fontId="45" fillId="2" borderId="0" xfId="0" applyNumberFormat="1" applyFont="1" applyFill="1" applyBorder="1" applyAlignment="1" applyProtection="1">
      <alignment horizontal="center" vertical="center"/>
      <protection hidden="1"/>
    </xf>
    <xf numFmtId="3" fontId="1" fillId="2" borderId="6" xfId="0" applyNumberFormat="1" applyFont="1" applyFill="1" applyBorder="1" applyAlignment="1" applyProtection="1">
      <alignment horizontal="center" vertical="center"/>
      <protection hidden="1"/>
    </xf>
    <xf numFmtId="0" fontId="8" fillId="2" borderId="6" xfId="0" applyFont="1" applyFill="1" applyBorder="1" applyAlignment="1" applyProtection="1">
      <alignment horizontal="center" vertical="center"/>
      <protection hidden="1"/>
    </xf>
    <xf numFmtId="176" fontId="0" fillId="2" borderId="6" xfId="0" applyNumberFormat="1" applyFill="1" applyBorder="1" applyAlignment="1" applyProtection="1">
      <alignment horizontal="center" vertical="center"/>
      <protection hidden="1"/>
    </xf>
    <xf numFmtId="3" fontId="1" fillId="2" borderId="22" xfId="0" applyNumberFormat="1" applyFont="1" applyFill="1" applyBorder="1" applyAlignment="1" applyProtection="1">
      <alignment horizontal="center" vertical="center"/>
      <protection hidden="1"/>
    </xf>
    <xf numFmtId="0" fontId="8" fillId="2" borderId="22" xfId="0" applyFont="1" applyFill="1" applyBorder="1" applyAlignment="1" applyProtection="1">
      <alignment horizontal="center" vertical="center"/>
      <protection hidden="1"/>
    </xf>
    <xf numFmtId="176" fontId="0" fillId="2" borderId="22" xfId="0" applyNumberFormat="1" applyFill="1" applyBorder="1" applyAlignment="1" applyProtection="1">
      <alignment horizontal="center" vertical="center"/>
      <protection hidden="1"/>
    </xf>
    <xf numFmtId="3" fontId="1" fillId="2" borderId="13" xfId="0" applyNumberFormat="1" applyFont="1" applyFill="1" applyBorder="1" applyAlignment="1" applyProtection="1">
      <alignment horizontal="center" vertical="center"/>
      <protection hidden="1"/>
    </xf>
    <xf numFmtId="0" fontId="8" fillId="2" borderId="13" xfId="0" applyFont="1" applyFill="1" applyBorder="1" applyAlignment="1" applyProtection="1">
      <alignment horizontal="center" vertical="center"/>
      <protection hidden="1"/>
    </xf>
    <xf numFmtId="176" fontId="0" fillId="2" borderId="13" xfId="0" applyNumberFormat="1" applyFill="1" applyBorder="1" applyAlignment="1" applyProtection="1">
      <alignment horizontal="center" vertical="center"/>
      <protection hidden="1"/>
    </xf>
    <xf numFmtId="178" fontId="19" fillId="2" borderId="0" xfId="0" applyNumberFormat="1" applyFont="1" applyFill="1" applyProtection="1">
      <alignment vertical="center"/>
      <protection hidden="1"/>
    </xf>
    <xf numFmtId="0" fontId="6" fillId="2" borderId="5" xfId="0" applyFont="1" applyFill="1" applyBorder="1" applyAlignment="1" applyProtection="1">
      <alignment horizontal="center" vertical="center"/>
      <protection hidden="1"/>
    </xf>
    <xf numFmtId="3" fontId="0" fillId="2" borderId="30" xfId="0" applyNumberFormat="1" applyFill="1" applyBorder="1" applyAlignment="1" applyProtection="1">
      <alignment horizontal="center" vertical="center"/>
      <protection hidden="1"/>
    </xf>
    <xf numFmtId="0" fontId="6" fillId="2" borderId="21" xfId="0" applyFont="1" applyFill="1" applyBorder="1" applyAlignment="1" applyProtection="1">
      <alignment horizontal="center" vertical="center"/>
      <protection hidden="1"/>
    </xf>
    <xf numFmtId="3" fontId="0" fillId="2" borderId="31" xfId="0" applyNumberFormat="1" applyFill="1" applyBorder="1" applyAlignment="1" applyProtection="1">
      <alignment horizontal="center" vertical="center"/>
      <protection hidden="1"/>
    </xf>
    <xf numFmtId="0" fontId="6" fillId="2" borderId="26" xfId="0" applyFont="1" applyFill="1" applyBorder="1" applyAlignment="1" applyProtection="1">
      <alignment horizontal="center" vertical="center"/>
      <protection hidden="1"/>
    </xf>
    <xf numFmtId="3" fontId="0" fillId="2" borderId="32" xfId="0" applyNumberFormat="1" applyFill="1" applyBorder="1" applyAlignment="1" applyProtection="1">
      <alignment horizontal="center" vertical="center"/>
      <protection hidden="1"/>
    </xf>
    <xf numFmtId="0" fontId="6" fillId="2" borderId="12" xfId="0" applyFont="1" applyFill="1" applyBorder="1" applyAlignment="1" applyProtection="1">
      <alignment horizontal="center" vertical="center"/>
      <protection hidden="1"/>
    </xf>
    <xf numFmtId="0" fontId="6" fillId="2" borderId="34" xfId="0" applyFont="1" applyFill="1" applyBorder="1" applyAlignment="1" applyProtection="1">
      <alignment horizontal="center" vertical="center"/>
      <protection hidden="1"/>
    </xf>
    <xf numFmtId="3" fontId="57" fillId="2" borderId="6" xfId="0" applyNumberFormat="1" applyFont="1" applyFill="1" applyBorder="1" applyAlignment="1" applyProtection="1">
      <alignment horizontal="center" vertical="center" wrapText="1"/>
      <protection hidden="1"/>
    </xf>
    <xf numFmtId="3" fontId="19" fillId="2" borderId="0" xfId="0" applyNumberFormat="1" applyFont="1" applyFill="1" applyProtection="1">
      <alignment vertical="center"/>
      <protection hidden="1"/>
    </xf>
    <xf numFmtId="178" fontId="59" fillId="2" borderId="6" xfId="0" applyNumberFormat="1" applyFont="1" applyFill="1" applyBorder="1" applyAlignment="1" applyProtection="1">
      <alignment horizontal="center" vertical="center"/>
      <protection hidden="1"/>
    </xf>
    <xf numFmtId="178" fontId="59" fillId="2" borderId="22" xfId="0" applyNumberFormat="1" applyFont="1" applyFill="1" applyBorder="1" applyAlignment="1" applyProtection="1">
      <alignment horizontal="center" vertical="center"/>
      <protection hidden="1"/>
    </xf>
    <xf numFmtId="178" fontId="12" fillId="2" borderId="31" xfId="0" applyNumberFormat="1" applyFont="1" applyFill="1" applyBorder="1" applyAlignment="1" applyProtection="1">
      <alignment horizontal="right" vertical="center"/>
      <protection hidden="1"/>
    </xf>
    <xf numFmtId="178" fontId="59" fillId="2" borderId="13" xfId="0" applyNumberFormat="1" applyFont="1" applyFill="1" applyBorder="1" applyAlignment="1" applyProtection="1">
      <alignment horizontal="center" vertical="center"/>
      <protection hidden="1"/>
    </xf>
    <xf numFmtId="178" fontId="12" fillId="2" borderId="32" xfId="0" applyNumberFormat="1" applyFont="1" applyFill="1" applyBorder="1" applyAlignment="1" applyProtection="1">
      <alignment horizontal="right" vertical="center"/>
      <protection hidden="1"/>
    </xf>
    <xf numFmtId="178" fontId="12" fillId="2" borderId="30" xfId="0" applyNumberFormat="1" applyFont="1" applyFill="1" applyBorder="1" applyAlignment="1" applyProtection="1">
      <alignment horizontal="right" vertical="center"/>
      <protection hidden="1"/>
    </xf>
    <xf numFmtId="179" fontId="9" fillId="2" borderId="27" xfId="0" applyNumberFormat="1" applyFont="1" applyFill="1" applyBorder="1" applyAlignment="1" applyProtection="1">
      <alignment horizontal="right" vertical="center" wrapText="1"/>
      <protection hidden="1"/>
    </xf>
    <xf numFmtId="179" fontId="14" fillId="2" borderId="27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0" xfId="0" applyFont="1" applyFill="1" applyBorder="1" applyProtection="1">
      <alignment vertical="center"/>
      <protection hidden="1"/>
    </xf>
    <xf numFmtId="0" fontId="60" fillId="2" borderId="0" xfId="0" applyFont="1" applyFill="1" applyProtection="1">
      <alignment vertical="center"/>
      <protection hidden="1"/>
    </xf>
    <xf numFmtId="3" fontId="37" fillId="2" borderId="0" xfId="0" applyNumberFormat="1" applyFont="1" applyFill="1" applyBorder="1" applyAlignment="1" applyProtection="1">
      <alignment horizontal="center" vertical="center"/>
      <protection hidden="1"/>
    </xf>
    <xf numFmtId="179" fontId="6" fillId="2" borderId="13" xfId="0" applyNumberFormat="1" applyFont="1" applyFill="1" applyBorder="1" applyAlignment="1" applyProtection="1">
      <alignment horizontal="center" vertical="center"/>
      <protection hidden="1"/>
    </xf>
    <xf numFmtId="179" fontId="20" fillId="2" borderId="6" xfId="0" applyNumberFormat="1" applyFont="1" applyFill="1" applyBorder="1" applyAlignment="1" applyProtection="1">
      <alignment horizontal="center" vertical="center" wrapText="1"/>
      <protection hidden="1"/>
    </xf>
    <xf numFmtId="179" fontId="20" fillId="2" borderId="13" xfId="0" applyNumberFormat="1" applyFont="1" applyFill="1" applyBorder="1" applyAlignment="1" applyProtection="1">
      <alignment horizontal="center" vertical="center" wrapText="1"/>
      <protection hidden="1"/>
    </xf>
    <xf numFmtId="0" fontId="25" fillId="2" borderId="0" xfId="0" applyFont="1" applyFill="1" applyBorder="1" applyAlignment="1" applyProtection="1">
      <alignment vertical="center" wrapText="1"/>
      <protection hidden="1"/>
    </xf>
    <xf numFmtId="3" fontId="12" fillId="2" borderId="17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Protection="1">
      <alignment vertical="center"/>
      <protection locked="0"/>
    </xf>
    <xf numFmtId="180" fontId="66" fillId="2" borderId="0" xfId="0" applyNumberFormat="1" applyFont="1" applyFill="1" applyProtection="1">
      <alignment vertical="center"/>
      <protection hidden="1"/>
    </xf>
    <xf numFmtId="180" fontId="10" fillId="2" borderId="0" xfId="0" applyNumberFormat="1" applyFont="1" applyFill="1" applyProtection="1">
      <alignment vertical="center"/>
      <protection hidden="1"/>
    </xf>
    <xf numFmtId="3" fontId="45" fillId="2" borderId="0" xfId="0" applyNumberFormat="1" applyFont="1" applyFill="1" applyBorder="1" applyProtection="1">
      <alignment vertical="center"/>
      <protection hidden="1"/>
    </xf>
    <xf numFmtId="0" fontId="45" fillId="2" borderId="0" xfId="0" applyFont="1" applyFill="1" applyBorder="1" applyAlignment="1" applyProtection="1">
      <alignment horizontal="center" vertical="center"/>
      <protection hidden="1"/>
    </xf>
    <xf numFmtId="0" fontId="45" fillId="2" borderId="0" xfId="0" applyFont="1" applyFill="1" applyBorder="1" applyProtection="1">
      <alignment vertical="center"/>
      <protection hidden="1"/>
    </xf>
    <xf numFmtId="0" fontId="67" fillId="2" borderId="0" xfId="0" applyFont="1" applyFill="1" applyBorder="1" applyAlignment="1" applyProtection="1">
      <alignment horizontal="center" vertical="center"/>
      <protection hidden="1"/>
    </xf>
    <xf numFmtId="0" fontId="45" fillId="2" borderId="0" xfId="0" applyFont="1" applyFill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left" vertical="center"/>
      <protection hidden="1"/>
    </xf>
    <xf numFmtId="0" fontId="8" fillId="2" borderId="26" xfId="0" applyFont="1" applyFill="1" applyBorder="1" applyAlignment="1" applyProtection="1">
      <alignment horizontal="center" vertical="center" wrapText="1"/>
      <protection hidden="1"/>
    </xf>
    <xf numFmtId="3" fontId="57" fillId="2" borderId="27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27" xfId="0" applyFont="1" applyFill="1" applyBorder="1" applyAlignment="1" applyProtection="1">
      <alignment horizontal="center" vertical="center" wrapText="1"/>
      <protection hidden="1"/>
    </xf>
    <xf numFmtId="176" fontId="9" fillId="2" borderId="27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5" xfId="0" applyFont="1" applyFill="1" applyBorder="1" applyAlignment="1" applyProtection="1">
      <alignment horizontal="center" vertical="center" wrapText="1"/>
      <protection hidden="1"/>
    </xf>
    <xf numFmtId="176" fontId="17" fillId="2" borderId="6" xfId="0" applyNumberFormat="1" applyFont="1" applyFill="1" applyBorder="1" applyAlignment="1" applyProtection="1">
      <alignment horizontal="center" vertical="center" wrapText="1"/>
      <protection hidden="1"/>
    </xf>
    <xf numFmtId="176" fontId="17" fillId="2" borderId="22" xfId="0" applyNumberFormat="1" applyFont="1" applyFill="1" applyBorder="1" applyAlignment="1" applyProtection="1">
      <alignment horizontal="center" vertical="center" wrapText="1"/>
      <protection hidden="1"/>
    </xf>
    <xf numFmtId="176" fontId="17" fillId="2" borderId="13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Alignment="1" applyProtection="1">
      <alignment vertical="center"/>
    </xf>
    <xf numFmtId="0" fontId="50" fillId="2" borderId="0" xfId="0" applyFont="1" applyFill="1" applyProtection="1">
      <alignment vertical="center"/>
      <protection hidden="1"/>
    </xf>
    <xf numFmtId="0" fontId="9" fillId="24" borderId="5" xfId="0" applyFont="1" applyFill="1" applyBorder="1" applyAlignment="1" applyProtection="1">
      <alignment horizontal="center" vertical="center" wrapText="1"/>
      <protection hidden="1"/>
    </xf>
    <xf numFmtId="179" fontId="9" fillId="24" borderId="6" xfId="0" applyNumberFormat="1" applyFont="1" applyFill="1" applyBorder="1" applyAlignment="1" applyProtection="1">
      <alignment horizontal="center" vertical="center" wrapText="1"/>
      <protection hidden="1"/>
    </xf>
    <xf numFmtId="179" fontId="14" fillId="24" borderId="6" xfId="0" applyNumberFormat="1" applyFont="1" applyFill="1" applyBorder="1" applyAlignment="1" applyProtection="1">
      <alignment horizontal="center" vertical="center" wrapText="1"/>
      <protection hidden="1"/>
    </xf>
    <xf numFmtId="179" fontId="8" fillId="24" borderId="6" xfId="0" applyNumberFormat="1" applyFont="1" applyFill="1" applyBorder="1" applyAlignment="1" applyProtection="1">
      <alignment horizontal="center" vertical="center" wrapText="1"/>
      <protection hidden="1"/>
    </xf>
    <xf numFmtId="3" fontId="9" fillId="24" borderId="6" xfId="0" applyNumberFormat="1" applyFont="1" applyFill="1" applyBorder="1" applyAlignment="1" applyProtection="1">
      <alignment horizontal="center" vertical="center" wrapText="1"/>
      <protection hidden="1"/>
    </xf>
    <xf numFmtId="3" fontId="12" fillId="24" borderId="19" xfId="0" applyNumberFormat="1" applyFont="1" applyFill="1" applyBorder="1" applyAlignment="1" applyProtection="1">
      <alignment horizontal="right" vertical="center" wrapText="1"/>
      <protection hidden="1"/>
    </xf>
    <xf numFmtId="178" fontId="12" fillId="24" borderId="5" xfId="0" applyNumberFormat="1" applyFont="1" applyFill="1" applyBorder="1" applyAlignment="1" applyProtection="1">
      <alignment horizontal="right" vertical="center"/>
      <protection hidden="1"/>
    </xf>
    <xf numFmtId="178" fontId="12" fillId="24" borderId="6" xfId="0" applyNumberFormat="1" applyFont="1" applyFill="1" applyBorder="1" applyAlignment="1" applyProtection="1">
      <alignment horizontal="right" vertical="center"/>
      <protection hidden="1"/>
    </xf>
    <xf numFmtId="178" fontId="15" fillId="24" borderId="6" xfId="0" applyNumberFormat="1" applyFont="1" applyFill="1" applyBorder="1" applyAlignment="1" applyProtection="1">
      <alignment horizontal="right" vertical="center"/>
      <protection hidden="1"/>
    </xf>
    <xf numFmtId="41" fontId="13" fillId="24" borderId="19" xfId="0" applyNumberFormat="1" applyFont="1" applyFill="1" applyBorder="1" applyAlignment="1" applyProtection="1">
      <alignment horizontal="center" vertical="center"/>
      <protection hidden="1"/>
    </xf>
    <xf numFmtId="0" fontId="9" fillId="24" borderId="21" xfId="0" applyFont="1" applyFill="1" applyBorder="1" applyAlignment="1" applyProtection="1">
      <alignment horizontal="center" vertical="center" wrapText="1"/>
      <protection hidden="1"/>
    </xf>
    <xf numFmtId="179" fontId="9" fillId="24" borderId="22" xfId="0" applyNumberFormat="1" applyFont="1" applyFill="1" applyBorder="1" applyAlignment="1" applyProtection="1">
      <alignment horizontal="center" vertical="center" wrapText="1"/>
      <protection hidden="1"/>
    </xf>
    <xf numFmtId="179" fontId="14" fillId="24" borderId="22" xfId="0" applyNumberFormat="1" applyFont="1" applyFill="1" applyBorder="1" applyAlignment="1" applyProtection="1">
      <alignment horizontal="center" vertical="center" wrapText="1"/>
      <protection hidden="1"/>
    </xf>
    <xf numFmtId="179" fontId="8" fillId="24" borderId="22" xfId="0" applyNumberFormat="1" applyFont="1" applyFill="1" applyBorder="1" applyAlignment="1" applyProtection="1">
      <alignment horizontal="center" vertical="center" wrapText="1"/>
      <protection hidden="1"/>
    </xf>
    <xf numFmtId="3" fontId="9" fillId="24" borderId="22" xfId="0" applyNumberFormat="1" applyFont="1" applyFill="1" applyBorder="1" applyAlignment="1" applyProtection="1">
      <alignment horizontal="center" vertical="center" wrapText="1"/>
      <protection hidden="1"/>
    </xf>
    <xf numFmtId="3" fontId="12" fillId="24" borderId="23" xfId="0" applyNumberFormat="1" applyFont="1" applyFill="1" applyBorder="1" applyAlignment="1" applyProtection="1">
      <alignment horizontal="right" vertical="center" wrapText="1"/>
      <protection hidden="1"/>
    </xf>
    <xf numFmtId="178" fontId="12" fillId="24" borderId="21" xfId="0" applyNumberFormat="1" applyFont="1" applyFill="1" applyBorder="1" applyAlignment="1" applyProtection="1">
      <alignment horizontal="right" vertical="center"/>
      <protection hidden="1"/>
    </xf>
    <xf numFmtId="178" fontId="12" fillId="24" borderId="22" xfId="0" applyNumberFormat="1" applyFont="1" applyFill="1" applyBorder="1" applyAlignment="1" applyProtection="1">
      <alignment horizontal="right" vertical="center"/>
      <protection hidden="1"/>
    </xf>
    <xf numFmtId="178" fontId="15" fillId="24" borderId="22" xfId="0" applyNumberFormat="1" applyFont="1" applyFill="1" applyBorder="1" applyAlignment="1" applyProtection="1">
      <alignment horizontal="right" vertical="center"/>
      <protection hidden="1"/>
    </xf>
    <xf numFmtId="41" fontId="13" fillId="24" borderId="23" xfId="0" applyNumberFormat="1" applyFont="1" applyFill="1" applyBorder="1" applyAlignment="1" applyProtection="1">
      <alignment horizontal="center" vertical="center"/>
      <protection hidden="1"/>
    </xf>
    <xf numFmtId="0" fontId="9" fillId="24" borderId="12" xfId="0" applyFont="1" applyFill="1" applyBorder="1" applyAlignment="1" applyProtection="1">
      <alignment horizontal="center" vertical="center" wrapText="1"/>
      <protection hidden="1"/>
    </xf>
    <xf numFmtId="179" fontId="9" fillId="24" borderId="13" xfId="0" applyNumberFormat="1" applyFont="1" applyFill="1" applyBorder="1" applyAlignment="1" applyProtection="1">
      <alignment horizontal="center" vertical="center" wrapText="1"/>
      <protection hidden="1"/>
    </xf>
    <xf numFmtId="179" fontId="14" fillId="24" borderId="13" xfId="0" applyNumberFormat="1" applyFont="1" applyFill="1" applyBorder="1" applyAlignment="1" applyProtection="1">
      <alignment horizontal="center" vertical="center" wrapText="1"/>
      <protection hidden="1"/>
    </xf>
    <xf numFmtId="179" fontId="8" fillId="24" borderId="13" xfId="0" applyNumberFormat="1" applyFont="1" applyFill="1" applyBorder="1" applyAlignment="1" applyProtection="1">
      <alignment horizontal="center" vertical="center" wrapText="1"/>
      <protection hidden="1"/>
    </xf>
    <xf numFmtId="3" fontId="9" fillId="24" borderId="13" xfId="0" applyNumberFormat="1" applyFont="1" applyFill="1" applyBorder="1" applyAlignment="1" applyProtection="1">
      <alignment horizontal="center" vertical="center" wrapText="1"/>
      <protection hidden="1"/>
    </xf>
    <xf numFmtId="3" fontId="12" fillId="24" borderId="25" xfId="0" applyNumberFormat="1" applyFont="1" applyFill="1" applyBorder="1" applyAlignment="1" applyProtection="1">
      <alignment horizontal="right" vertical="center" wrapText="1"/>
      <protection hidden="1"/>
    </xf>
    <xf numFmtId="178" fontId="12" fillId="24" borderId="12" xfId="0" applyNumberFormat="1" applyFont="1" applyFill="1" applyBorder="1" applyAlignment="1" applyProtection="1">
      <alignment horizontal="right" vertical="center"/>
      <protection hidden="1"/>
    </xf>
    <xf numFmtId="178" fontId="12" fillId="24" borderId="13" xfId="0" applyNumberFormat="1" applyFont="1" applyFill="1" applyBorder="1" applyAlignment="1" applyProtection="1">
      <alignment horizontal="right" vertical="center"/>
      <protection hidden="1"/>
    </xf>
    <xf numFmtId="178" fontId="15" fillId="24" borderId="13" xfId="0" applyNumberFormat="1" applyFont="1" applyFill="1" applyBorder="1" applyAlignment="1" applyProtection="1">
      <alignment horizontal="right" vertical="center"/>
      <protection hidden="1"/>
    </xf>
    <xf numFmtId="41" fontId="13" fillId="24" borderId="25" xfId="0" applyNumberFormat="1" applyFont="1" applyFill="1" applyBorder="1" applyAlignment="1" applyProtection="1">
      <alignment horizontal="center" vertical="center"/>
      <protection hidden="1"/>
    </xf>
    <xf numFmtId="0" fontId="9" fillId="24" borderId="34" xfId="0" applyFont="1" applyFill="1" applyBorder="1" applyAlignment="1" applyProtection="1">
      <alignment horizontal="center" vertical="center" wrapText="1"/>
      <protection hidden="1"/>
    </xf>
    <xf numFmtId="179" fontId="9" fillId="24" borderId="35" xfId="0" applyNumberFormat="1" applyFont="1" applyFill="1" applyBorder="1" applyAlignment="1" applyProtection="1">
      <alignment horizontal="center" vertical="center" wrapText="1"/>
      <protection hidden="1"/>
    </xf>
    <xf numFmtId="179" fontId="35" fillId="24" borderId="35" xfId="0" applyNumberFormat="1" applyFont="1" applyFill="1" applyBorder="1" applyAlignment="1" applyProtection="1">
      <alignment horizontal="center" vertical="center" wrapText="1"/>
      <protection hidden="1"/>
    </xf>
    <xf numFmtId="179" fontId="8" fillId="24" borderId="35" xfId="0" applyNumberFormat="1" applyFont="1" applyFill="1" applyBorder="1" applyAlignment="1" applyProtection="1">
      <alignment horizontal="center" vertical="center" wrapText="1"/>
      <protection hidden="1"/>
    </xf>
    <xf numFmtId="3" fontId="9" fillId="24" borderId="35" xfId="0" applyNumberFormat="1" applyFont="1" applyFill="1" applyBorder="1" applyAlignment="1" applyProtection="1">
      <alignment horizontal="center" vertical="center" wrapText="1"/>
      <protection hidden="1"/>
    </xf>
    <xf numFmtId="3" fontId="12" fillId="24" borderId="36" xfId="0" applyNumberFormat="1" applyFont="1" applyFill="1" applyBorder="1" applyAlignment="1" applyProtection="1">
      <alignment horizontal="right" vertical="center" wrapText="1"/>
      <protection hidden="1"/>
    </xf>
    <xf numFmtId="178" fontId="12" fillId="24" borderId="34" xfId="0" applyNumberFormat="1" applyFont="1" applyFill="1" applyBorder="1" applyAlignment="1" applyProtection="1">
      <alignment horizontal="right" vertical="center"/>
      <protection hidden="1"/>
    </xf>
    <xf numFmtId="178" fontId="12" fillId="24" borderId="35" xfId="0" applyNumberFormat="1" applyFont="1" applyFill="1" applyBorder="1" applyAlignment="1" applyProtection="1">
      <alignment horizontal="right" vertical="center"/>
      <protection hidden="1"/>
    </xf>
    <xf numFmtId="178" fontId="15" fillId="24" borderId="35" xfId="0" applyNumberFormat="1" applyFont="1" applyFill="1" applyBorder="1" applyAlignment="1" applyProtection="1">
      <alignment horizontal="right" vertical="center"/>
      <protection hidden="1"/>
    </xf>
    <xf numFmtId="41" fontId="13" fillId="24" borderId="36" xfId="0" applyNumberFormat="1" applyFont="1" applyFill="1" applyBorder="1" applyAlignment="1" applyProtection="1">
      <alignment horizontal="center" vertical="center"/>
      <protection hidden="1"/>
    </xf>
    <xf numFmtId="179" fontId="35" fillId="24" borderId="22" xfId="0" applyNumberFormat="1" applyFont="1" applyFill="1" applyBorder="1" applyAlignment="1" applyProtection="1">
      <alignment horizontal="center" vertical="center" wrapText="1"/>
      <protection hidden="1"/>
    </xf>
    <xf numFmtId="0" fontId="9" fillId="24" borderId="26" xfId="0" applyFont="1" applyFill="1" applyBorder="1" applyAlignment="1" applyProtection="1">
      <alignment horizontal="center" vertical="center" wrapText="1"/>
      <protection hidden="1"/>
    </xf>
    <xf numFmtId="179" fontId="9" fillId="24" borderId="27" xfId="0" applyNumberFormat="1" applyFont="1" applyFill="1" applyBorder="1" applyAlignment="1" applyProtection="1">
      <alignment horizontal="center" vertical="center" wrapText="1"/>
      <protection hidden="1"/>
    </xf>
    <xf numFmtId="179" fontId="35" fillId="24" borderId="27" xfId="0" applyNumberFormat="1" applyFont="1" applyFill="1" applyBorder="1" applyAlignment="1" applyProtection="1">
      <alignment horizontal="center" vertical="center" wrapText="1"/>
      <protection hidden="1"/>
    </xf>
    <xf numFmtId="179" fontId="8" fillId="24" borderId="27" xfId="0" applyNumberFormat="1" applyFont="1" applyFill="1" applyBorder="1" applyAlignment="1" applyProtection="1">
      <alignment horizontal="center" vertical="center" wrapText="1"/>
      <protection hidden="1"/>
    </xf>
    <xf numFmtId="3" fontId="9" fillId="24" borderId="27" xfId="0" applyNumberFormat="1" applyFont="1" applyFill="1" applyBorder="1" applyAlignment="1" applyProtection="1">
      <alignment horizontal="center" vertical="center" wrapText="1"/>
      <protection hidden="1"/>
    </xf>
    <xf numFmtId="3" fontId="12" fillId="24" borderId="29" xfId="0" applyNumberFormat="1" applyFont="1" applyFill="1" applyBorder="1" applyAlignment="1" applyProtection="1">
      <alignment horizontal="right" vertical="center" wrapText="1"/>
      <protection hidden="1"/>
    </xf>
    <xf numFmtId="178" fontId="12" fillId="24" borderId="26" xfId="0" applyNumberFormat="1" applyFont="1" applyFill="1" applyBorder="1" applyAlignment="1" applyProtection="1">
      <alignment horizontal="right" vertical="center"/>
      <protection hidden="1"/>
    </xf>
    <xf numFmtId="178" fontId="12" fillId="24" borderId="27" xfId="0" applyNumberFormat="1" applyFont="1" applyFill="1" applyBorder="1" applyAlignment="1" applyProtection="1">
      <alignment horizontal="right" vertical="center"/>
      <protection hidden="1"/>
    </xf>
    <xf numFmtId="178" fontId="15" fillId="24" borderId="27" xfId="0" applyNumberFormat="1" applyFont="1" applyFill="1" applyBorder="1" applyAlignment="1" applyProtection="1">
      <alignment horizontal="right" vertical="center"/>
      <protection hidden="1"/>
    </xf>
    <xf numFmtId="41" fontId="13" fillId="24" borderId="29" xfId="0" applyNumberFormat="1" applyFont="1" applyFill="1" applyBorder="1" applyAlignment="1" applyProtection="1">
      <alignment horizontal="center" vertical="center"/>
      <protection hidden="1"/>
    </xf>
    <xf numFmtId="0" fontId="9" fillId="24" borderId="8" xfId="0" applyFont="1" applyFill="1" applyBorder="1" applyAlignment="1" applyProtection="1">
      <alignment horizontal="center" vertical="center" wrapText="1"/>
      <protection hidden="1"/>
    </xf>
    <xf numFmtId="179" fontId="9" fillId="24" borderId="9" xfId="0" applyNumberFormat="1" applyFont="1" applyFill="1" applyBorder="1" applyAlignment="1" applyProtection="1">
      <alignment horizontal="center" vertical="center" wrapText="1"/>
      <protection hidden="1"/>
    </xf>
    <xf numFmtId="179" fontId="35" fillId="24" borderId="6" xfId="0" applyNumberFormat="1" applyFont="1" applyFill="1" applyBorder="1" applyAlignment="1" applyProtection="1">
      <alignment horizontal="center" vertical="center" wrapText="1"/>
      <protection hidden="1"/>
    </xf>
    <xf numFmtId="179" fontId="8" fillId="24" borderId="9" xfId="0" applyNumberFormat="1" applyFont="1" applyFill="1" applyBorder="1" applyAlignment="1" applyProtection="1">
      <alignment horizontal="center" vertical="center" wrapText="1"/>
      <protection hidden="1"/>
    </xf>
    <xf numFmtId="179" fontId="17" fillId="24" borderId="6" xfId="0" applyNumberFormat="1" applyFont="1" applyFill="1" applyBorder="1" applyAlignment="1" applyProtection="1">
      <alignment horizontal="center" vertical="center"/>
      <protection hidden="1"/>
    </xf>
    <xf numFmtId="3" fontId="9" fillId="24" borderId="9" xfId="0" applyNumberFormat="1" applyFont="1" applyFill="1" applyBorder="1" applyAlignment="1" applyProtection="1">
      <alignment horizontal="center" vertical="center" wrapText="1"/>
      <protection hidden="1"/>
    </xf>
    <xf numFmtId="0" fontId="9" fillId="24" borderId="12" xfId="0" applyFont="1" applyFill="1" applyBorder="1" applyAlignment="1" applyProtection="1">
      <alignment horizontal="center" vertical="center"/>
      <protection hidden="1"/>
    </xf>
    <xf numFmtId="179" fontId="0" fillId="24" borderId="13" xfId="0" applyNumberFormat="1" applyFill="1" applyBorder="1" applyProtection="1">
      <alignment vertical="center"/>
      <protection hidden="1"/>
    </xf>
    <xf numFmtId="179" fontId="35" fillId="24" borderId="13" xfId="0" applyNumberFormat="1" applyFont="1" applyFill="1" applyBorder="1" applyAlignment="1" applyProtection="1">
      <alignment horizontal="center" vertical="center" wrapText="1"/>
      <protection hidden="1"/>
    </xf>
    <xf numFmtId="179" fontId="17" fillId="24" borderId="13" xfId="0" applyNumberFormat="1" applyFont="1" applyFill="1" applyBorder="1" applyAlignment="1" applyProtection="1">
      <alignment horizontal="center" vertical="center"/>
      <protection hidden="1"/>
    </xf>
    <xf numFmtId="179" fontId="0" fillId="24" borderId="6" xfId="0" applyNumberFormat="1" applyFill="1" applyBorder="1" applyAlignment="1" applyProtection="1">
      <alignment horizontal="center" vertical="center"/>
      <protection hidden="1"/>
    </xf>
    <xf numFmtId="179" fontId="0" fillId="24" borderId="22" xfId="0" applyNumberFormat="1" applyFill="1" applyBorder="1" applyAlignment="1" applyProtection="1">
      <alignment horizontal="center" vertical="center"/>
      <protection hidden="1"/>
    </xf>
    <xf numFmtId="3" fontId="0" fillId="24" borderId="22" xfId="0" applyNumberFormat="1" applyFill="1" applyBorder="1" applyAlignment="1" applyProtection="1">
      <alignment horizontal="center" vertical="center"/>
      <protection hidden="1"/>
    </xf>
    <xf numFmtId="3" fontId="12" fillId="24" borderId="23" xfId="0" applyNumberFormat="1" applyFont="1" applyFill="1" applyBorder="1" applyAlignment="1" applyProtection="1">
      <alignment horizontal="right" vertical="center"/>
      <protection hidden="1"/>
    </xf>
    <xf numFmtId="0" fontId="13" fillId="24" borderId="23" xfId="0" applyFont="1" applyFill="1" applyBorder="1" applyAlignment="1" applyProtection="1">
      <alignment horizontal="center" vertical="center"/>
      <protection hidden="1"/>
    </xf>
    <xf numFmtId="179" fontId="0" fillId="24" borderId="13" xfId="0" applyNumberFormat="1" applyFill="1" applyBorder="1" applyAlignment="1" applyProtection="1">
      <alignment horizontal="center" vertical="center"/>
      <protection hidden="1"/>
    </xf>
    <xf numFmtId="3" fontId="0" fillId="24" borderId="13" xfId="0" applyNumberFormat="1" applyFill="1" applyBorder="1" applyAlignment="1" applyProtection="1">
      <alignment horizontal="center" vertical="center"/>
      <protection hidden="1"/>
    </xf>
    <xf numFmtId="3" fontId="12" fillId="24" borderId="25" xfId="0" applyNumberFormat="1" applyFont="1" applyFill="1" applyBorder="1" applyAlignment="1" applyProtection="1">
      <alignment horizontal="right" vertical="center"/>
      <protection hidden="1"/>
    </xf>
    <xf numFmtId="0" fontId="13" fillId="24" borderId="29" xfId="0" applyFont="1" applyFill="1" applyBorder="1" applyAlignment="1" applyProtection="1">
      <alignment horizontal="center" vertical="center"/>
      <protection hidden="1"/>
    </xf>
    <xf numFmtId="179" fontId="14" fillId="24" borderId="35" xfId="0" applyNumberFormat="1" applyFont="1" applyFill="1" applyBorder="1" applyAlignment="1" applyProtection="1">
      <alignment horizontal="center" vertical="center" wrapText="1"/>
      <protection hidden="1"/>
    </xf>
    <xf numFmtId="179" fontId="9" fillId="24" borderId="35" xfId="0" applyNumberFormat="1" applyFont="1" applyFill="1" applyBorder="1" applyAlignment="1" applyProtection="1">
      <alignment horizontal="center" vertical="center"/>
      <protection hidden="1"/>
    </xf>
    <xf numFmtId="3" fontId="0" fillId="24" borderId="35" xfId="0" applyNumberFormat="1" applyFill="1" applyBorder="1" applyAlignment="1" applyProtection="1">
      <alignment horizontal="center" vertical="center"/>
      <protection hidden="1"/>
    </xf>
    <xf numFmtId="3" fontId="12" fillId="24" borderId="36" xfId="0" applyNumberFormat="1" applyFont="1" applyFill="1" applyBorder="1" applyAlignment="1" applyProtection="1">
      <alignment horizontal="right" vertical="center"/>
      <protection hidden="1"/>
    </xf>
    <xf numFmtId="179" fontId="12" fillId="24" borderId="5" xfId="0" applyNumberFormat="1" applyFont="1" applyFill="1" applyBorder="1" applyAlignment="1" applyProtection="1">
      <alignment horizontal="right" vertical="center"/>
      <protection hidden="1"/>
    </xf>
    <xf numFmtId="0" fontId="13" fillId="24" borderId="19" xfId="0" applyFont="1" applyFill="1" applyBorder="1" applyAlignment="1" applyProtection="1">
      <alignment horizontal="center" vertical="center"/>
      <protection hidden="1"/>
    </xf>
    <xf numFmtId="179" fontId="9" fillId="24" borderId="22" xfId="0" applyNumberFormat="1" applyFont="1" applyFill="1" applyBorder="1" applyAlignment="1" applyProtection="1">
      <alignment horizontal="center" vertical="center"/>
      <protection hidden="1"/>
    </xf>
    <xf numFmtId="179" fontId="12" fillId="24" borderId="21" xfId="0" applyNumberFormat="1" applyFont="1" applyFill="1" applyBorder="1" applyAlignment="1" applyProtection="1">
      <alignment horizontal="right" vertical="center"/>
      <protection hidden="1"/>
    </xf>
    <xf numFmtId="0" fontId="0" fillId="24" borderId="21" xfId="0" applyFill="1" applyBorder="1" applyAlignment="1" applyProtection="1">
      <alignment horizontal="center" vertical="center"/>
      <protection hidden="1"/>
    </xf>
    <xf numFmtId="179" fontId="14" fillId="24" borderId="22" xfId="0" applyNumberFormat="1" applyFont="1" applyFill="1" applyBorder="1" applyAlignment="1" applyProtection="1">
      <alignment horizontal="center" vertical="center"/>
      <protection hidden="1"/>
    </xf>
    <xf numFmtId="179" fontId="12" fillId="24" borderId="26" xfId="0" applyNumberFormat="1" applyFont="1" applyFill="1" applyBorder="1" applyAlignment="1" applyProtection="1">
      <alignment horizontal="right" vertical="center"/>
      <protection hidden="1"/>
    </xf>
    <xf numFmtId="0" fontId="0" fillId="24" borderId="26" xfId="0" applyFill="1" applyBorder="1" applyAlignment="1" applyProtection="1">
      <alignment horizontal="center" vertical="center"/>
      <protection hidden="1"/>
    </xf>
    <xf numFmtId="179" fontId="0" fillId="24" borderId="27" xfId="0" applyNumberFormat="1" applyFill="1" applyBorder="1" applyAlignment="1" applyProtection="1">
      <alignment horizontal="center" vertical="center"/>
      <protection hidden="1"/>
    </xf>
    <xf numFmtId="179" fontId="14" fillId="24" borderId="27" xfId="0" applyNumberFormat="1" applyFont="1" applyFill="1" applyBorder="1" applyAlignment="1" applyProtection="1">
      <alignment horizontal="center" vertical="center"/>
      <protection hidden="1"/>
    </xf>
    <xf numFmtId="3" fontId="0" fillId="24" borderId="27" xfId="0" applyNumberFormat="1" applyFill="1" applyBorder="1" applyAlignment="1" applyProtection="1">
      <alignment horizontal="center" vertical="center"/>
      <protection hidden="1"/>
    </xf>
    <xf numFmtId="3" fontId="12" fillId="24" borderId="29" xfId="0" applyNumberFormat="1" applyFont="1" applyFill="1" applyBorder="1" applyAlignment="1" applyProtection="1">
      <alignment horizontal="right" vertical="center"/>
      <protection hidden="1"/>
    </xf>
    <xf numFmtId="0" fontId="13" fillId="24" borderId="25" xfId="0" applyFont="1" applyFill="1" applyBorder="1" applyAlignment="1" applyProtection="1">
      <alignment horizontal="center" vertical="center"/>
      <protection hidden="1"/>
    </xf>
    <xf numFmtId="179" fontId="17" fillId="24" borderId="6" xfId="0" applyNumberFormat="1" applyFont="1" applyFill="1" applyBorder="1" applyAlignment="1" applyProtection="1">
      <alignment horizontal="center" vertical="center" wrapText="1"/>
      <protection hidden="1"/>
    </xf>
    <xf numFmtId="3" fontId="0" fillId="24" borderId="6" xfId="0" applyNumberFormat="1" applyFill="1" applyBorder="1" applyAlignment="1" applyProtection="1">
      <alignment horizontal="center" vertical="center"/>
      <protection hidden="1"/>
    </xf>
    <xf numFmtId="3" fontId="12" fillId="24" borderId="19" xfId="0" applyNumberFormat="1" applyFont="1" applyFill="1" applyBorder="1" applyAlignment="1" applyProtection="1">
      <alignment horizontal="right" vertical="center"/>
      <protection hidden="1"/>
    </xf>
    <xf numFmtId="179" fontId="17" fillId="24" borderId="22" xfId="0" applyNumberFormat="1" applyFont="1" applyFill="1" applyBorder="1" applyAlignment="1" applyProtection="1">
      <alignment horizontal="center" vertical="center" wrapText="1"/>
      <protection hidden="1"/>
    </xf>
    <xf numFmtId="178" fontId="0" fillId="24" borderId="22" xfId="0" applyNumberFormat="1" applyFill="1" applyBorder="1" applyAlignment="1" applyProtection="1">
      <alignment horizontal="center" vertical="center"/>
      <protection hidden="1"/>
    </xf>
    <xf numFmtId="178" fontId="14" fillId="24" borderId="22" xfId="0" applyNumberFormat="1" applyFont="1" applyFill="1" applyBorder="1" applyAlignment="1" applyProtection="1">
      <alignment horizontal="center" vertical="center"/>
      <protection hidden="1"/>
    </xf>
    <xf numFmtId="178" fontId="17" fillId="24" borderId="22" xfId="0" applyNumberFormat="1" applyFont="1" applyFill="1" applyBorder="1" applyAlignment="1" applyProtection="1">
      <alignment horizontal="center" vertical="center" wrapText="1"/>
      <protection hidden="1"/>
    </xf>
    <xf numFmtId="178" fontId="0" fillId="24" borderId="27" xfId="0" applyNumberFormat="1" applyFill="1" applyBorder="1" applyAlignment="1" applyProtection="1">
      <alignment horizontal="center" vertical="center"/>
      <protection hidden="1"/>
    </xf>
    <xf numFmtId="178" fontId="14" fillId="24" borderId="27" xfId="0" applyNumberFormat="1" applyFont="1" applyFill="1" applyBorder="1" applyAlignment="1" applyProtection="1">
      <alignment horizontal="center" vertical="center"/>
      <protection hidden="1"/>
    </xf>
    <xf numFmtId="178" fontId="17" fillId="24" borderId="27" xfId="0" applyNumberFormat="1" applyFont="1" applyFill="1" applyBorder="1" applyAlignment="1" applyProtection="1">
      <alignment horizontal="center" vertical="center" wrapText="1"/>
      <protection hidden="1"/>
    </xf>
    <xf numFmtId="0" fontId="25" fillId="24" borderId="5" xfId="0" applyFont="1" applyFill="1" applyBorder="1" applyAlignment="1" applyProtection="1">
      <alignment horizontal="center" vertical="center"/>
      <protection hidden="1"/>
    </xf>
    <xf numFmtId="178" fontId="0" fillId="24" borderId="6" xfId="0" applyNumberFormat="1" applyFill="1" applyBorder="1" applyAlignment="1" applyProtection="1">
      <alignment horizontal="center" vertical="center"/>
      <protection hidden="1"/>
    </xf>
    <xf numFmtId="178" fontId="14" fillId="24" borderId="6" xfId="0" applyNumberFormat="1" applyFont="1" applyFill="1" applyBorder="1" applyAlignment="1" applyProtection="1">
      <alignment horizontal="center" vertical="center"/>
      <protection hidden="1"/>
    </xf>
    <xf numFmtId="178" fontId="60" fillId="24" borderId="6" xfId="0" applyNumberFormat="1" applyFont="1" applyFill="1" applyBorder="1" applyAlignment="1" applyProtection="1">
      <alignment horizontal="center" vertical="center" wrapText="1"/>
      <protection hidden="1"/>
    </xf>
    <xf numFmtId="0" fontId="25" fillId="24" borderId="21" xfId="0" applyFont="1" applyFill="1" applyBorder="1" applyAlignment="1" applyProtection="1">
      <alignment horizontal="center" vertical="center"/>
      <protection hidden="1"/>
    </xf>
    <xf numFmtId="178" fontId="60" fillId="24" borderId="22" xfId="0" applyNumberFormat="1" applyFont="1" applyFill="1" applyBorder="1" applyAlignment="1" applyProtection="1">
      <alignment horizontal="center" vertical="center" wrapText="1"/>
      <protection hidden="1"/>
    </xf>
    <xf numFmtId="178" fontId="60" fillId="24" borderId="22" xfId="0" applyNumberFormat="1" applyFont="1" applyFill="1" applyBorder="1" applyAlignment="1" applyProtection="1">
      <alignment horizontal="center" vertical="center"/>
      <protection hidden="1"/>
    </xf>
    <xf numFmtId="0" fontId="25" fillId="25" borderId="21" xfId="0" applyFont="1" applyFill="1" applyBorder="1" applyAlignment="1" applyProtection="1">
      <alignment horizontal="center" vertical="center"/>
      <protection hidden="1"/>
    </xf>
    <xf numFmtId="178" fontId="0" fillId="25" borderId="22" xfId="0" applyNumberFormat="1" applyFill="1" applyBorder="1" applyAlignment="1" applyProtection="1">
      <alignment horizontal="center" vertical="center"/>
      <protection hidden="1"/>
    </xf>
    <xf numFmtId="178" fontId="14" fillId="25" borderId="22" xfId="0" applyNumberFormat="1" applyFont="1" applyFill="1" applyBorder="1" applyAlignment="1" applyProtection="1">
      <alignment horizontal="center" vertical="center"/>
      <protection hidden="1"/>
    </xf>
    <xf numFmtId="178" fontId="60" fillId="25" borderId="22" xfId="0" applyNumberFormat="1" applyFont="1" applyFill="1" applyBorder="1" applyAlignment="1" applyProtection="1">
      <alignment horizontal="center" vertical="center"/>
      <protection hidden="1"/>
    </xf>
    <xf numFmtId="3" fontId="12" fillId="25" borderId="23" xfId="0" applyNumberFormat="1" applyFont="1" applyFill="1" applyBorder="1" applyAlignment="1" applyProtection="1">
      <alignment horizontal="right" vertical="center"/>
      <protection hidden="1"/>
    </xf>
    <xf numFmtId="178" fontId="12" fillId="25" borderId="21" xfId="0" applyNumberFormat="1" applyFont="1" applyFill="1" applyBorder="1" applyAlignment="1" applyProtection="1">
      <alignment horizontal="right" vertical="center"/>
      <protection hidden="1"/>
    </xf>
    <xf numFmtId="178" fontId="12" fillId="25" borderId="22" xfId="0" applyNumberFormat="1" applyFont="1" applyFill="1" applyBorder="1" applyAlignment="1" applyProtection="1">
      <alignment horizontal="right" vertical="center"/>
      <protection hidden="1"/>
    </xf>
    <xf numFmtId="178" fontId="15" fillId="25" borderId="22" xfId="0" applyNumberFormat="1" applyFont="1" applyFill="1" applyBorder="1" applyAlignment="1" applyProtection="1">
      <alignment horizontal="right" vertical="center"/>
      <protection hidden="1"/>
    </xf>
    <xf numFmtId="0" fontId="13" fillId="25" borderId="23" xfId="0" applyFont="1" applyFill="1" applyBorder="1" applyAlignment="1" applyProtection="1">
      <alignment horizontal="center" vertical="center"/>
      <protection hidden="1"/>
    </xf>
    <xf numFmtId="0" fontId="25" fillId="25" borderId="12" xfId="0" applyFont="1" applyFill="1" applyBorder="1" applyAlignment="1" applyProtection="1">
      <alignment horizontal="center" vertical="center"/>
      <protection hidden="1"/>
    </xf>
    <xf numFmtId="178" fontId="0" fillId="25" borderId="13" xfId="0" applyNumberFormat="1" applyFill="1" applyBorder="1" applyAlignment="1" applyProtection="1">
      <alignment horizontal="center" vertical="center"/>
      <protection hidden="1"/>
    </xf>
    <xf numFmtId="178" fontId="14" fillId="25" borderId="13" xfId="0" applyNumberFormat="1" applyFont="1" applyFill="1" applyBorder="1" applyAlignment="1" applyProtection="1">
      <alignment horizontal="center" vertical="center"/>
      <protection hidden="1"/>
    </xf>
    <xf numFmtId="178" fontId="60" fillId="25" borderId="13" xfId="0" applyNumberFormat="1" applyFont="1" applyFill="1" applyBorder="1" applyAlignment="1" applyProtection="1">
      <alignment horizontal="center" vertical="center"/>
      <protection hidden="1"/>
    </xf>
    <xf numFmtId="3" fontId="12" fillId="25" borderId="25" xfId="0" applyNumberFormat="1" applyFont="1" applyFill="1" applyBorder="1" applyAlignment="1" applyProtection="1">
      <alignment horizontal="right" vertical="center"/>
      <protection hidden="1"/>
    </xf>
    <xf numFmtId="178" fontId="12" fillId="25" borderId="12" xfId="0" applyNumberFormat="1" applyFont="1" applyFill="1" applyBorder="1" applyAlignment="1" applyProtection="1">
      <alignment horizontal="right" vertical="center"/>
      <protection hidden="1"/>
    </xf>
    <xf numFmtId="178" fontId="12" fillId="25" borderId="13" xfId="0" applyNumberFormat="1" applyFont="1" applyFill="1" applyBorder="1" applyAlignment="1" applyProtection="1">
      <alignment horizontal="right" vertical="center"/>
      <protection hidden="1"/>
    </xf>
    <xf numFmtId="178" fontId="15" fillId="25" borderId="13" xfId="0" applyNumberFormat="1" applyFont="1" applyFill="1" applyBorder="1" applyAlignment="1" applyProtection="1">
      <alignment horizontal="right" vertical="center"/>
      <protection hidden="1"/>
    </xf>
    <xf numFmtId="0" fontId="13" fillId="25" borderId="25" xfId="0" applyFont="1" applyFill="1" applyBorder="1" applyAlignment="1" applyProtection="1">
      <alignment horizontal="center" vertical="center"/>
      <protection hidden="1"/>
    </xf>
    <xf numFmtId="178" fontId="60" fillId="25" borderId="22" xfId="0" applyNumberFormat="1" applyFont="1" applyFill="1" applyBorder="1" applyAlignment="1" applyProtection="1">
      <alignment horizontal="center" vertical="center" wrapText="1"/>
      <protection hidden="1"/>
    </xf>
    <xf numFmtId="178" fontId="35" fillId="24" borderId="6" xfId="0" applyNumberFormat="1" applyFont="1" applyFill="1" applyBorder="1" applyAlignment="1" applyProtection="1">
      <alignment horizontal="center" vertical="center" wrapText="1"/>
      <protection hidden="1"/>
    </xf>
    <xf numFmtId="178" fontId="8" fillId="24" borderId="6" xfId="0" applyNumberFormat="1" applyFont="1" applyFill="1" applyBorder="1" applyAlignment="1" applyProtection="1">
      <alignment horizontal="center" vertical="center" wrapText="1"/>
      <protection hidden="1"/>
    </xf>
    <xf numFmtId="178" fontId="35" fillId="25" borderId="22" xfId="0" applyNumberFormat="1" applyFont="1" applyFill="1" applyBorder="1" applyAlignment="1" applyProtection="1">
      <alignment horizontal="center" vertical="center" wrapText="1"/>
      <protection hidden="1"/>
    </xf>
    <xf numFmtId="178" fontId="8" fillId="25" borderId="22" xfId="0" applyNumberFormat="1" applyFont="1" applyFill="1" applyBorder="1" applyAlignment="1" applyProtection="1">
      <alignment horizontal="center" vertical="center" wrapText="1"/>
      <protection hidden="1"/>
    </xf>
    <xf numFmtId="178" fontId="35" fillId="24" borderId="22" xfId="0" applyNumberFormat="1" applyFont="1" applyFill="1" applyBorder="1" applyAlignment="1" applyProtection="1">
      <alignment horizontal="center" vertical="center" wrapText="1"/>
      <protection hidden="1"/>
    </xf>
    <xf numFmtId="178" fontId="8" fillId="24" borderId="22" xfId="0" applyNumberFormat="1" applyFont="1" applyFill="1" applyBorder="1" applyAlignment="1" applyProtection="1">
      <alignment horizontal="center" vertical="center" wrapText="1"/>
      <protection hidden="1"/>
    </xf>
    <xf numFmtId="178" fontId="35" fillId="25" borderId="13" xfId="0" applyNumberFormat="1" applyFont="1" applyFill="1" applyBorder="1" applyAlignment="1" applyProtection="1">
      <alignment horizontal="center" vertical="center" wrapText="1"/>
      <protection hidden="1"/>
    </xf>
    <xf numFmtId="178" fontId="8" fillId="25" borderId="13" xfId="0" applyNumberFormat="1" applyFont="1" applyFill="1" applyBorder="1" applyAlignment="1" applyProtection="1">
      <alignment horizontal="center" vertical="center" wrapText="1"/>
      <protection hidden="1"/>
    </xf>
    <xf numFmtId="178" fontId="17" fillId="24" borderId="6" xfId="0" applyNumberFormat="1" applyFont="1" applyFill="1" applyBorder="1" applyAlignment="1" applyProtection="1">
      <alignment horizontal="center" vertical="center" wrapText="1"/>
      <protection hidden="1"/>
    </xf>
    <xf numFmtId="178" fontId="17" fillId="25" borderId="22" xfId="0" applyNumberFormat="1" applyFont="1" applyFill="1" applyBorder="1" applyAlignment="1" applyProtection="1">
      <alignment horizontal="center" vertical="center" wrapText="1"/>
      <protection hidden="1"/>
    </xf>
    <xf numFmtId="0" fontId="25" fillId="24" borderId="12" xfId="0" applyFont="1" applyFill="1" applyBorder="1" applyAlignment="1" applyProtection="1">
      <alignment horizontal="center" vertical="center"/>
      <protection hidden="1"/>
    </xf>
    <xf numFmtId="178" fontId="0" fillId="24" borderId="13" xfId="0" applyNumberFormat="1" applyFill="1" applyBorder="1" applyAlignment="1" applyProtection="1">
      <alignment horizontal="center" vertical="center"/>
      <protection hidden="1"/>
    </xf>
    <xf numFmtId="178" fontId="35" fillId="24" borderId="13" xfId="0" applyNumberFormat="1" applyFont="1" applyFill="1" applyBorder="1" applyAlignment="1" applyProtection="1">
      <alignment horizontal="center" vertical="center" wrapText="1"/>
      <protection hidden="1"/>
    </xf>
    <xf numFmtId="178" fontId="8" fillId="24" borderId="13" xfId="0" applyNumberFormat="1" applyFont="1" applyFill="1" applyBorder="1" applyAlignment="1" applyProtection="1">
      <alignment horizontal="center" vertical="center" wrapText="1"/>
      <protection hidden="1"/>
    </xf>
    <xf numFmtId="178" fontId="17" fillId="24" borderId="1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Protection="1">
      <alignment vertical="center"/>
      <protection hidden="1"/>
    </xf>
    <xf numFmtId="0" fontId="0" fillId="26" borderId="25" xfId="0" applyFill="1" applyBorder="1" applyAlignment="1" applyProtection="1">
      <alignment horizontal="center" vertical="center"/>
      <protection locked="0"/>
    </xf>
    <xf numFmtId="0" fontId="25" fillId="0" borderId="5" xfId="0" applyFont="1" applyBorder="1" applyAlignment="1" applyProtection="1">
      <alignment horizontal="center" vertical="center"/>
      <protection hidden="1"/>
    </xf>
    <xf numFmtId="0" fontId="25" fillId="5" borderId="21" xfId="0" applyFont="1" applyFill="1" applyBorder="1" applyAlignment="1" applyProtection="1">
      <alignment horizontal="center" vertical="center"/>
      <protection hidden="1"/>
    </xf>
    <xf numFmtId="0" fontId="25" fillId="0" borderId="21" xfId="0" applyFont="1" applyBorder="1" applyAlignment="1" applyProtection="1">
      <alignment horizontal="center" vertical="center"/>
      <protection hidden="1"/>
    </xf>
    <xf numFmtId="0" fontId="25" fillId="0" borderId="12" xfId="0" applyFont="1" applyBorder="1" applyAlignment="1" applyProtection="1">
      <alignment horizontal="center" vertical="center"/>
      <protection hidden="1"/>
    </xf>
    <xf numFmtId="0" fontId="11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Protection="1">
      <alignment vertical="center"/>
      <protection hidden="1"/>
    </xf>
    <xf numFmtId="3" fontId="42" fillId="2" borderId="0" xfId="0" applyNumberFormat="1" applyFont="1" applyFill="1" applyAlignment="1" applyProtection="1">
      <alignment horizontal="center" vertical="center"/>
      <protection hidden="1"/>
    </xf>
    <xf numFmtId="3" fontId="49" fillId="2" borderId="0" xfId="0" applyNumberFormat="1" applyFont="1" applyFill="1" applyAlignment="1" applyProtection="1">
      <alignment horizontal="center" vertical="center"/>
      <protection hidden="1"/>
    </xf>
    <xf numFmtId="3" fontId="44" fillId="2" borderId="0" xfId="0" applyNumberFormat="1" applyFont="1" applyFill="1" applyAlignment="1" applyProtection="1">
      <alignment horizontal="center" vertical="center"/>
      <protection hidden="1"/>
    </xf>
    <xf numFmtId="3" fontId="45" fillId="2" borderId="0" xfId="0" applyNumberFormat="1" applyFont="1" applyFill="1" applyAlignment="1" applyProtection="1">
      <alignment horizontal="center" vertical="center"/>
      <protection hidden="1"/>
    </xf>
    <xf numFmtId="0" fontId="49" fillId="2" borderId="0" xfId="0" applyFont="1" applyFill="1" applyAlignment="1" applyProtection="1">
      <alignment horizontal="center" vertical="center"/>
      <protection hidden="1"/>
    </xf>
    <xf numFmtId="176" fontId="45" fillId="2" borderId="0" xfId="0" applyNumberFormat="1" applyFont="1" applyFill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 wrapText="1"/>
      <protection locked="0"/>
    </xf>
    <xf numFmtId="178" fontId="9" fillId="2" borderId="22" xfId="0" applyNumberFormat="1" applyFont="1" applyFill="1" applyBorder="1" applyAlignment="1" applyProtection="1">
      <alignment horizontal="right" vertical="center" wrapText="1"/>
      <protection locked="0"/>
    </xf>
    <xf numFmtId="0" fontId="14" fillId="2" borderId="22" xfId="0" applyFont="1" applyFill="1" applyBorder="1" applyAlignment="1" applyProtection="1">
      <alignment horizontal="center" vertical="center" wrapText="1"/>
      <protection locked="0"/>
    </xf>
    <xf numFmtId="179" fontId="35" fillId="2" borderId="22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12" xfId="0" applyFont="1" applyFill="1" applyBorder="1" applyAlignment="1" applyProtection="1">
      <alignment horizontal="center" vertical="center" wrapText="1"/>
      <protection hidden="1"/>
    </xf>
    <xf numFmtId="179" fontId="35" fillId="2" borderId="13" xfId="0" applyNumberFormat="1" applyFont="1" applyFill="1" applyBorder="1" applyAlignment="1" applyProtection="1">
      <alignment horizontal="center" vertical="center" wrapText="1"/>
      <protection hidden="1"/>
    </xf>
    <xf numFmtId="179" fontId="17" fillId="2" borderId="13" xfId="0" applyNumberFormat="1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2" xfId="0" applyFont="1" applyFill="1" applyBorder="1" applyAlignment="1" applyProtection="1">
      <alignment horizontal="center" vertical="center" wrapText="1"/>
      <protection hidden="1"/>
    </xf>
    <xf numFmtId="179" fontId="8" fillId="2" borderId="13" xfId="0" applyNumberFormat="1" applyFont="1" applyFill="1" applyBorder="1" applyAlignment="1" applyProtection="1">
      <alignment horizontal="center" vertical="center"/>
      <protection hidden="1"/>
    </xf>
    <xf numFmtId="0" fontId="0" fillId="2" borderId="26" xfId="0" applyFill="1" applyBorder="1" applyAlignment="1" applyProtection="1">
      <alignment horizontal="center" vertical="center"/>
      <protection hidden="1"/>
    </xf>
    <xf numFmtId="179" fontId="0" fillId="2" borderId="27" xfId="0" applyNumberFormat="1" applyFill="1" applyBorder="1" applyAlignment="1" applyProtection="1">
      <alignment horizontal="center" vertical="center"/>
      <protection hidden="1"/>
    </xf>
    <xf numFmtId="179" fontId="0" fillId="2" borderId="6" xfId="0" applyNumberFormat="1" applyFill="1" applyBorder="1" applyAlignment="1" applyProtection="1">
      <alignment horizontal="center" vertical="center"/>
      <protection hidden="1"/>
    </xf>
    <xf numFmtId="0" fontId="8" fillId="2" borderId="34" xfId="0" applyFont="1" applyFill="1" applyBorder="1" applyAlignment="1" applyProtection="1">
      <alignment horizontal="center" vertical="center" wrapText="1"/>
      <protection hidden="1"/>
    </xf>
    <xf numFmtId="179" fontId="26" fillId="2" borderId="6" xfId="0" applyNumberFormat="1" applyFont="1" applyFill="1" applyBorder="1" applyAlignment="1" applyProtection="1">
      <alignment horizontal="center" vertical="center"/>
      <protection hidden="1"/>
    </xf>
    <xf numFmtId="179" fontId="26" fillId="2" borderId="22" xfId="0" applyNumberFormat="1" applyFont="1" applyFill="1" applyBorder="1" applyAlignment="1" applyProtection="1">
      <alignment horizontal="center" vertical="center"/>
      <protection hidden="1"/>
    </xf>
    <xf numFmtId="179" fontId="26" fillId="2" borderId="13" xfId="0" applyNumberFormat="1" applyFont="1" applyFill="1" applyBorder="1" applyAlignment="1" applyProtection="1">
      <alignment horizontal="center" vertical="center"/>
      <protection hidden="1"/>
    </xf>
    <xf numFmtId="0" fontId="21" fillId="2" borderId="0" xfId="0" applyFont="1" applyFill="1" applyProtection="1">
      <alignment vertical="center"/>
      <protection hidden="1"/>
    </xf>
    <xf numFmtId="38" fontId="25" fillId="27" borderId="18" xfId="0" applyNumberFormat="1" applyFont="1" applyFill="1" applyBorder="1" applyAlignment="1" applyProtection="1">
      <alignment horizontal="center" vertical="center" wrapText="1"/>
      <protection locked="0"/>
    </xf>
    <xf numFmtId="38" fontId="25" fillId="27" borderId="20" xfId="0" applyNumberFormat="1" applyFont="1" applyFill="1" applyBorder="1" applyAlignment="1" applyProtection="1">
      <alignment horizontal="center" vertical="center" wrapText="1"/>
      <protection locked="0"/>
    </xf>
    <xf numFmtId="178" fontId="18" fillId="27" borderId="20" xfId="0" applyNumberFormat="1" applyFont="1" applyFill="1" applyBorder="1" applyAlignment="1" applyProtection="1">
      <alignment horizontal="center" vertical="center" wrapText="1"/>
      <protection locked="0"/>
    </xf>
    <xf numFmtId="3" fontId="18" fillId="27" borderId="20" xfId="0" applyNumberFormat="1" applyFont="1" applyFill="1" applyBorder="1" applyAlignment="1" applyProtection="1">
      <alignment horizontal="center" vertical="center"/>
      <protection locked="0"/>
    </xf>
    <xf numFmtId="0" fontId="18" fillId="27" borderId="20" xfId="0" applyFont="1" applyFill="1" applyBorder="1" applyAlignment="1" applyProtection="1">
      <alignment horizontal="center" vertical="center"/>
      <protection locked="0"/>
    </xf>
    <xf numFmtId="0" fontId="18" fillId="27" borderId="24" xfId="0" applyFont="1" applyFill="1" applyBorder="1" applyAlignment="1" applyProtection="1">
      <alignment horizontal="center" vertical="center"/>
      <protection locked="0"/>
    </xf>
    <xf numFmtId="38" fontId="25" fillId="27" borderId="42" xfId="0" applyNumberFormat="1" applyFont="1" applyFill="1" applyBorder="1" applyAlignment="1" applyProtection="1">
      <alignment horizontal="center" vertical="center" wrapText="1"/>
      <protection locked="0"/>
    </xf>
    <xf numFmtId="38" fontId="18" fillId="27" borderId="42" xfId="0" applyNumberFormat="1" applyFont="1" applyFill="1" applyBorder="1" applyAlignment="1" applyProtection="1">
      <alignment horizontal="center" vertical="center"/>
      <protection locked="0"/>
    </xf>
    <xf numFmtId="178" fontId="18" fillId="27" borderId="42" xfId="0" applyNumberFormat="1" applyFont="1" applyFill="1" applyBorder="1" applyAlignment="1" applyProtection="1">
      <alignment horizontal="center" vertical="center" wrapText="1"/>
      <protection locked="0"/>
    </xf>
    <xf numFmtId="0" fontId="18" fillId="27" borderId="42" xfId="0" applyFont="1" applyFill="1" applyBorder="1" applyAlignment="1" applyProtection="1">
      <alignment horizontal="center" vertical="center"/>
      <protection locked="0"/>
    </xf>
    <xf numFmtId="38" fontId="25" fillId="27" borderId="43" xfId="0" applyNumberFormat="1" applyFont="1" applyFill="1" applyBorder="1" applyAlignment="1" applyProtection="1">
      <alignment horizontal="center" vertical="center" wrapText="1"/>
      <protection locked="0"/>
    </xf>
    <xf numFmtId="178" fontId="18" fillId="27" borderId="43" xfId="0" applyNumberFormat="1" applyFont="1" applyFill="1" applyBorder="1" applyAlignment="1" applyProtection="1">
      <alignment horizontal="center" vertical="center" wrapText="1"/>
      <protection locked="0"/>
    </xf>
    <xf numFmtId="3" fontId="18" fillId="27" borderId="43" xfId="0" applyNumberFormat="1" applyFont="1" applyFill="1" applyBorder="1" applyAlignment="1" applyProtection="1">
      <alignment horizontal="center" vertical="center"/>
      <protection locked="0"/>
    </xf>
    <xf numFmtId="0" fontId="18" fillId="27" borderId="43" xfId="0" applyFont="1" applyFill="1" applyBorder="1" applyAlignment="1" applyProtection="1">
      <alignment horizontal="center" vertical="center"/>
      <protection locked="0"/>
    </xf>
    <xf numFmtId="38" fontId="25" fillId="27" borderId="24" xfId="0" applyNumberFormat="1" applyFont="1" applyFill="1" applyBorder="1" applyAlignment="1" applyProtection="1">
      <alignment horizontal="center" vertical="center" wrapText="1"/>
      <protection locked="0"/>
    </xf>
    <xf numFmtId="178" fontId="18" fillId="27" borderId="18" xfId="0" applyNumberFormat="1" applyFont="1" applyFill="1" applyBorder="1" applyAlignment="1" applyProtection="1">
      <alignment horizontal="center" vertical="center" wrapText="1"/>
      <protection locked="0"/>
    </xf>
    <xf numFmtId="178" fontId="18" fillId="27" borderId="24" xfId="0" applyNumberFormat="1" applyFont="1" applyFill="1" applyBorder="1" applyAlignment="1" applyProtection="1">
      <alignment horizontal="center" vertical="center" wrapText="1"/>
      <protection locked="0"/>
    </xf>
    <xf numFmtId="178" fontId="18" fillId="27" borderId="24" xfId="0" applyNumberFormat="1" applyFont="1" applyFill="1" applyBorder="1" applyAlignment="1" applyProtection="1">
      <alignment horizontal="center" vertical="center"/>
      <protection locked="0"/>
    </xf>
    <xf numFmtId="0" fontId="18" fillId="27" borderId="18" xfId="0" applyFont="1" applyFill="1" applyBorder="1" applyAlignment="1" applyProtection="1">
      <alignment horizontal="center" vertical="center"/>
      <protection locked="0"/>
    </xf>
    <xf numFmtId="3" fontId="44" fillId="2" borderId="0" xfId="0" applyNumberFormat="1" applyFont="1" applyFill="1" applyProtection="1">
      <alignment vertical="center"/>
      <protection hidden="1"/>
    </xf>
    <xf numFmtId="0" fontId="75" fillId="9" borderId="7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77" fillId="17" borderId="7" xfId="0" applyFont="1" applyFill="1" applyBorder="1" applyAlignment="1" applyProtection="1">
      <alignment horizontal="center" vertical="center" wrapText="1"/>
    </xf>
    <xf numFmtId="0" fontId="76" fillId="12" borderId="7" xfId="0" applyFont="1" applyFill="1" applyBorder="1" applyAlignment="1" applyProtection="1">
      <alignment horizontal="center" vertical="center" wrapText="1"/>
      <protection hidden="1"/>
    </xf>
    <xf numFmtId="0" fontId="77" fillId="12" borderId="7" xfId="0" applyFont="1" applyFill="1" applyBorder="1" applyAlignment="1" applyProtection="1">
      <alignment horizontal="center" vertical="center" wrapText="1"/>
      <protection hidden="1"/>
    </xf>
    <xf numFmtId="0" fontId="42" fillId="0" borderId="0" xfId="0" applyFont="1" applyProtection="1">
      <alignment vertical="center"/>
      <protection hidden="1"/>
    </xf>
    <xf numFmtId="0" fontId="45" fillId="2" borderId="0" xfId="0" applyFont="1" applyFill="1" applyBorder="1" applyAlignment="1" applyProtection="1">
      <alignment horizontal="left" vertical="center"/>
      <protection hidden="1"/>
    </xf>
    <xf numFmtId="3" fontId="44" fillId="0" borderId="0" xfId="0" applyNumberFormat="1" applyFont="1" applyProtection="1">
      <alignment vertical="center"/>
      <protection hidden="1"/>
    </xf>
    <xf numFmtId="0" fontId="44" fillId="2" borderId="0" xfId="0" applyFont="1" applyFill="1" applyProtection="1">
      <alignment vertical="center"/>
      <protection hidden="1"/>
    </xf>
    <xf numFmtId="38" fontId="25" fillId="26" borderId="18" xfId="0" applyNumberFormat="1" applyFont="1" applyFill="1" applyBorder="1" applyAlignment="1" applyProtection="1">
      <alignment horizontal="center" vertical="center" wrapText="1"/>
      <protection locked="0"/>
    </xf>
    <xf numFmtId="38" fontId="18" fillId="26" borderId="20" xfId="0" applyNumberFormat="1" applyFont="1" applyFill="1" applyBorder="1" applyAlignment="1" applyProtection="1">
      <alignment horizontal="center" vertical="center" wrapText="1"/>
      <protection locked="0"/>
    </xf>
    <xf numFmtId="38" fontId="18" fillId="26" borderId="42" xfId="0" applyNumberFormat="1" applyFont="1" applyFill="1" applyBorder="1" applyAlignment="1" applyProtection="1">
      <alignment horizontal="center" vertical="center" wrapText="1"/>
      <protection locked="0"/>
    </xf>
    <xf numFmtId="38" fontId="18" fillId="26" borderId="24" xfId="0" applyNumberFormat="1" applyFont="1" applyFill="1" applyBorder="1" applyAlignment="1" applyProtection="1">
      <alignment horizontal="center" vertical="center" wrapText="1"/>
      <protection locked="0"/>
    </xf>
    <xf numFmtId="38" fontId="18" fillId="26" borderId="43" xfId="0" applyNumberFormat="1" applyFont="1" applyFill="1" applyBorder="1" applyAlignment="1" applyProtection="1">
      <alignment horizontal="center" vertical="center" wrapText="1"/>
      <protection locked="0"/>
    </xf>
    <xf numFmtId="38" fontId="18" fillId="26" borderId="20" xfId="0" applyNumberFormat="1" applyFont="1" applyFill="1" applyBorder="1" applyAlignment="1" applyProtection="1">
      <alignment horizontal="center" vertical="center"/>
      <protection locked="0"/>
    </xf>
    <xf numFmtId="178" fontId="18" fillId="26" borderId="20" xfId="0" applyNumberFormat="1" applyFont="1" applyFill="1" applyBorder="1" applyAlignment="1" applyProtection="1">
      <alignment horizontal="center" vertical="center" wrapText="1"/>
      <protection locked="0"/>
    </xf>
    <xf numFmtId="178" fontId="18" fillId="26" borderId="42" xfId="0" applyNumberFormat="1" applyFont="1" applyFill="1" applyBorder="1" applyAlignment="1" applyProtection="1">
      <alignment horizontal="center" vertical="center" wrapText="1"/>
      <protection locked="0"/>
    </xf>
    <xf numFmtId="178" fontId="18" fillId="26" borderId="18" xfId="0" applyNumberFormat="1" applyFont="1" applyFill="1" applyBorder="1" applyAlignment="1" applyProtection="1">
      <alignment horizontal="center" vertical="center" wrapText="1"/>
      <protection locked="0"/>
    </xf>
    <xf numFmtId="178" fontId="18" fillId="26" borderId="24" xfId="0" applyNumberFormat="1" applyFont="1" applyFill="1" applyBorder="1" applyAlignment="1" applyProtection="1">
      <alignment horizontal="center" vertical="center" wrapText="1"/>
      <protection locked="0"/>
    </xf>
    <xf numFmtId="178" fontId="18" fillId="26" borderId="43" xfId="0" applyNumberFormat="1" applyFont="1" applyFill="1" applyBorder="1" applyAlignment="1" applyProtection="1">
      <alignment horizontal="center" vertical="center" wrapText="1"/>
      <protection locked="0"/>
    </xf>
    <xf numFmtId="178" fontId="18" fillId="26" borderId="20" xfId="0" applyNumberFormat="1" applyFont="1" applyFill="1" applyBorder="1" applyAlignment="1" applyProtection="1">
      <alignment horizontal="center" vertical="center"/>
      <protection locked="0"/>
    </xf>
    <xf numFmtId="0" fontId="18" fillId="26" borderId="20" xfId="0" applyFont="1" applyFill="1" applyBorder="1" applyAlignment="1" applyProtection="1">
      <alignment horizontal="center" vertical="center"/>
      <protection locked="0"/>
    </xf>
    <xf numFmtId="0" fontId="18" fillId="26" borderId="42" xfId="0" applyFont="1" applyFill="1" applyBorder="1" applyAlignment="1" applyProtection="1">
      <alignment horizontal="center" vertical="center"/>
      <protection locked="0"/>
    </xf>
    <xf numFmtId="0" fontId="18" fillId="26" borderId="24" xfId="0" applyFont="1" applyFill="1" applyBorder="1" applyAlignment="1" applyProtection="1">
      <alignment horizontal="center" vertical="center"/>
      <protection locked="0"/>
    </xf>
    <xf numFmtId="0" fontId="18" fillId="26" borderId="43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Alignment="1" applyProtection="1">
      <alignment horizontal="center" vertical="center"/>
    </xf>
    <xf numFmtId="3" fontId="18" fillId="26" borderId="18" xfId="0" applyNumberFormat="1" applyFont="1" applyFill="1" applyBorder="1" applyAlignment="1" applyProtection="1">
      <alignment horizontal="center" vertical="center" wrapText="1"/>
      <protection locked="0"/>
    </xf>
    <xf numFmtId="3" fontId="18" fillId="26" borderId="20" xfId="0" applyNumberFormat="1" applyFont="1" applyFill="1" applyBorder="1" applyAlignment="1" applyProtection="1">
      <alignment horizontal="center" vertical="center" wrapText="1"/>
      <protection locked="0"/>
    </xf>
    <xf numFmtId="3" fontId="18" fillId="26" borderId="42" xfId="0" applyNumberFormat="1" applyFont="1" applyFill="1" applyBorder="1" applyAlignment="1" applyProtection="1">
      <alignment horizontal="center" vertical="center" wrapText="1"/>
      <protection locked="0"/>
    </xf>
    <xf numFmtId="3" fontId="18" fillId="26" borderId="24" xfId="0" applyNumberFormat="1" applyFont="1" applyFill="1" applyBorder="1" applyAlignment="1" applyProtection="1">
      <alignment horizontal="center" vertical="center" wrapText="1"/>
      <protection locked="0"/>
    </xf>
    <xf numFmtId="3" fontId="18" fillId="26" borderId="43" xfId="0" applyNumberFormat="1" applyFont="1" applyFill="1" applyBorder="1" applyAlignment="1" applyProtection="1">
      <alignment horizontal="center" vertical="center"/>
      <protection locked="0"/>
    </xf>
    <xf numFmtId="3" fontId="18" fillId="26" borderId="20" xfId="0" applyNumberFormat="1" applyFont="1" applyFill="1" applyBorder="1" applyAlignment="1" applyProtection="1">
      <alignment horizontal="center" vertical="center"/>
      <protection locked="0"/>
    </xf>
    <xf numFmtId="3" fontId="18" fillId="26" borderId="42" xfId="0" applyNumberFormat="1" applyFont="1" applyFill="1" applyBorder="1" applyAlignment="1" applyProtection="1">
      <alignment horizontal="center" vertical="center"/>
      <protection locked="0"/>
    </xf>
    <xf numFmtId="178" fontId="18" fillId="26" borderId="18" xfId="0" applyNumberFormat="1" applyFont="1" applyFill="1" applyBorder="1" applyAlignment="1" applyProtection="1">
      <alignment horizontal="center" vertical="center"/>
      <protection locked="0"/>
    </xf>
    <xf numFmtId="178" fontId="18" fillId="26" borderId="24" xfId="0" applyNumberFormat="1" applyFont="1" applyFill="1" applyBorder="1" applyAlignment="1" applyProtection="1">
      <alignment horizontal="center" vertical="center"/>
      <protection locked="0"/>
    </xf>
    <xf numFmtId="178" fontId="18" fillId="26" borderId="43" xfId="0" applyNumberFormat="1" applyFont="1" applyFill="1" applyBorder="1" applyAlignment="1" applyProtection="1">
      <alignment horizontal="center" vertical="center"/>
      <protection locked="0"/>
    </xf>
    <xf numFmtId="178" fontId="18" fillId="26" borderId="42" xfId="0" applyNumberFormat="1" applyFont="1" applyFill="1" applyBorder="1" applyAlignment="1" applyProtection="1">
      <alignment horizontal="center" vertical="center"/>
      <protection locked="0"/>
    </xf>
    <xf numFmtId="3" fontId="18" fillId="26" borderId="18" xfId="0" applyNumberFormat="1" applyFont="1" applyFill="1" applyBorder="1" applyAlignment="1" applyProtection="1">
      <alignment horizontal="center" vertical="center"/>
      <protection locked="0"/>
    </xf>
    <xf numFmtId="3" fontId="18" fillId="26" borderId="24" xfId="0" applyNumberFormat="1" applyFont="1" applyFill="1" applyBorder="1" applyAlignment="1" applyProtection="1">
      <alignment horizontal="center" vertical="center"/>
      <protection locked="0"/>
    </xf>
    <xf numFmtId="177" fontId="0" fillId="2" borderId="44" xfId="0" applyNumberFormat="1" applyFill="1" applyBorder="1" applyAlignment="1" applyProtection="1">
      <alignment horizontal="center" vertical="center"/>
      <protection hidden="1"/>
    </xf>
    <xf numFmtId="0" fontId="24" fillId="9" borderId="9" xfId="0" applyFont="1" applyFill="1" applyBorder="1" applyAlignment="1" applyProtection="1">
      <alignment horizontal="center" vertical="center" wrapText="1"/>
      <protection hidden="1"/>
    </xf>
    <xf numFmtId="0" fontId="78" fillId="12" borderId="9" xfId="0" applyFont="1" applyFill="1" applyBorder="1" applyAlignment="1" applyProtection="1">
      <alignment horizontal="center" vertical="center" wrapText="1"/>
      <protection hidden="1"/>
    </xf>
    <xf numFmtId="0" fontId="24" fillId="9" borderId="16" xfId="0" applyFont="1" applyFill="1" applyBorder="1" applyAlignment="1" applyProtection="1">
      <alignment horizontal="center" vertical="center"/>
      <protection hidden="1"/>
    </xf>
    <xf numFmtId="0" fontId="24" fillId="9" borderId="37" xfId="0" applyFont="1" applyFill="1" applyBorder="1" applyAlignment="1" applyProtection="1">
      <alignment horizontal="center" vertical="center"/>
      <protection hidden="1"/>
    </xf>
    <xf numFmtId="0" fontId="0" fillId="6" borderId="23" xfId="0" applyFill="1" applyBorder="1" applyAlignment="1" applyProtection="1">
      <alignment horizontal="center" vertical="center"/>
      <protection locked="0"/>
    </xf>
    <xf numFmtId="0" fontId="9" fillId="15" borderId="19" xfId="0" applyFont="1" applyFill="1" applyBorder="1" applyAlignment="1" applyProtection="1">
      <alignment horizontal="center" vertical="center" shrinkToFit="1"/>
      <protection locked="0"/>
    </xf>
    <xf numFmtId="0" fontId="78" fillId="18" borderId="9" xfId="0" applyFont="1" applyFill="1" applyBorder="1" applyAlignment="1" applyProtection="1">
      <alignment horizontal="center" vertical="center" wrapText="1"/>
      <protection hidden="1"/>
    </xf>
    <xf numFmtId="0" fontId="42" fillId="18" borderId="16" xfId="0" applyFont="1" applyFill="1" applyBorder="1" applyAlignment="1" applyProtection="1">
      <alignment horizontal="center" vertical="center"/>
      <protection hidden="1"/>
    </xf>
    <xf numFmtId="0" fontId="54" fillId="9" borderId="16" xfId="0" applyFont="1" applyFill="1" applyBorder="1" applyAlignment="1" applyProtection="1">
      <alignment horizontal="center" vertical="center"/>
      <protection hidden="1"/>
    </xf>
    <xf numFmtId="0" fontId="81" fillId="12" borderId="16" xfId="0" applyFont="1" applyFill="1" applyBorder="1" applyAlignment="1" applyProtection="1">
      <alignment horizontal="center" vertical="center"/>
      <protection hidden="1"/>
    </xf>
    <xf numFmtId="0" fontId="11" fillId="18" borderId="16" xfId="0" applyFont="1" applyFill="1" applyBorder="1" applyAlignment="1" applyProtection="1">
      <alignment vertical="center"/>
      <protection hidden="1"/>
    </xf>
    <xf numFmtId="0" fontId="82" fillId="18" borderId="9" xfId="0" applyFont="1" applyFill="1" applyBorder="1" applyAlignment="1" applyProtection="1">
      <alignment horizontal="center" vertical="center" wrapText="1"/>
      <protection hidden="1"/>
    </xf>
    <xf numFmtId="0" fontId="78" fillId="12" borderId="37" xfId="0" applyFont="1" applyFill="1" applyBorder="1" applyAlignment="1" applyProtection="1">
      <alignment vertical="center"/>
      <protection hidden="1"/>
    </xf>
    <xf numFmtId="0" fontId="82" fillId="12" borderId="9" xfId="0" applyFont="1" applyFill="1" applyBorder="1" applyAlignment="1" applyProtection="1">
      <alignment horizontal="center" vertical="center" wrapText="1"/>
      <protection hidden="1"/>
    </xf>
    <xf numFmtId="0" fontId="78" fillId="12" borderId="16" xfId="0" applyFont="1" applyFill="1" applyBorder="1" applyAlignment="1" applyProtection="1">
      <alignment vertical="center"/>
      <protection hidden="1"/>
    </xf>
    <xf numFmtId="0" fontId="7" fillId="9" borderId="9" xfId="0" applyFont="1" applyFill="1" applyBorder="1" applyAlignment="1" applyProtection="1">
      <alignment horizontal="center" vertical="center" wrapText="1"/>
      <protection hidden="1"/>
    </xf>
    <xf numFmtId="0" fontId="24" fillId="9" borderId="16" xfId="0" applyFont="1" applyFill="1" applyBorder="1" applyAlignment="1" applyProtection="1">
      <alignment vertical="center"/>
      <protection hidden="1"/>
    </xf>
    <xf numFmtId="0" fontId="83" fillId="2" borderId="0" xfId="0" applyFont="1" applyFill="1" applyAlignment="1" applyProtection="1">
      <alignment vertical="center"/>
      <protection hidden="1"/>
    </xf>
    <xf numFmtId="0" fontId="77" fillId="17" borderId="7" xfId="0" applyFont="1" applyFill="1" applyBorder="1" applyAlignment="1" applyProtection="1">
      <alignment horizontal="center" vertical="center" wrapText="1"/>
      <protection hidden="1"/>
    </xf>
    <xf numFmtId="0" fontId="48" fillId="17" borderId="7" xfId="0" applyFont="1" applyFill="1" applyBorder="1" applyAlignment="1" applyProtection="1">
      <alignment horizontal="center" vertical="center" wrapText="1"/>
      <protection hidden="1"/>
    </xf>
    <xf numFmtId="0" fontId="53" fillId="17" borderId="14" xfId="0" applyFont="1" applyFill="1" applyBorder="1" applyAlignment="1" applyProtection="1">
      <alignment horizontal="center" vertical="center" wrapText="1"/>
      <protection hidden="1"/>
    </xf>
    <xf numFmtId="0" fontId="12" fillId="34" borderId="55" xfId="0" applyFont="1" applyFill="1" applyBorder="1" applyAlignment="1" applyProtection="1">
      <alignment horizontal="center" vertical="center"/>
      <protection hidden="1"/>
    </xf>
    <xf numFmtId="3" fontId="12" fillId="0" borderId="6" xfId="0" applyNumberFormat="1" applyFont="1" applyBorder="1" applyAlignment="1" applyProtection="1">
      <alignment horizontal="right" vertical="center"/>
      <protection hidden="1"/>
    </xf>
    <xf numFmtId="0" fontId="20" fillId="0" borderId="6" xfId="0" applyFont="1" applyBorder="1" applyAlignment="1" applyProtection="1">
      <alignment horizontal="center" vertical="center"/>
      <protection hidden="1"/>
    </xf>
    <xf numFmtId="0" fontId="25" fillId="0" borderId="6" xfId="0" applyFont="1" applyBorder="1" applyAlignment="1" applyProtection="1">
      <alignment horizontal="center" vertical="center"/>
      <protection hidden="1"/>
    </xf>
    <xf numFmtId="3" fontId="0" fillId="0" borderId="6" xfId="0" applyNumberFormat="1" applyBorder="1" applyAlignment="1" applyProtection="1">
      <alignment horizontal="right" vertical="center"/>
      <protection hidden="1"/>
    </xf>
    <xf numFmtId="3" fontId="12" fillId="0" borderId="19" xfId="0" applyNumberFormat="1" applyFont="1" applyBorder="1" applyAlignment="1" applyProtection="1">
      <alignment horizontal="right" vertical="center"/>
      <protection hidden="1"/>
    </xf>
    <xf numFmtId="3" fontId="0" fillId="0" borderId="5" xfId="0" applyNumberFormat="1" applyBorder="1" applyAlignment="1" applyProtection="1">
      <alignment horizontal="right" vertical="center"/>
      <protection hidden="1"/>
    </xf>
    <xf numFmtId="3" fontId="10" fillId="0" borderId="6" xfId="0" applyNumberFormat="1" applyFont="1" applyBorder="1" applyAlignment="1" applyProtection="1">
      <alignment horizontal="right" vertical="center"/>
      <protection hidden="1"/>
    </xf>
    <xf numFmtId="0" fontId="12" fillId="29" borderId="57" xfId="0" applyFont="1" applyFill="1" applyBorder="1" applyAlignment="1" applyProtection="1">
      <alignment horizontal="center" vertical="center"/>
      <protection hidden="1"/>
    </xf>
    <xf numFmtId="0" fontId="25" fillId="29" borderId="21" xfId="0" applyFont="1" applyFill="1" applyBorder="1" applyAlignment="1" applyProtection="1">
      <alignment horizontal="center" vertical="center"/>
      <protection hidden="1"/>
    </xf>
    <xf numFmtId="3" fontId="12" fillId="29" borderId="22" xfId="0" applyNumberFormat="1" applyFont="1" applyFill="1" applyBorder="1" applyAlignment="1" applyProtection="1">
      <alignment horizontal="right" vertical="center"/>
      <protection hidden="1"/>
    </xf>
    <xf numFmtId="0" fontId="20" fillId="29" borderId="22" xfId="0" applyFont="1" applyFill="1" applyBorder="1" applyAlignment="1" applyProtection="1">
      <alignment horizontal="center" vertical="center"/>
      <protection hidden="1"/>
    </xf>
    <xf numFmtId="0" fontId="25" fillId="29" borderId="22" xfId="0" applyFont="1" applyFill="1" applyBorder="1" applyAlignment="1" applyProtection="1">
      <alignment horizontal="center" vertical="center"/>
      <protection hidden="1"/>
    </xf>
    <xf numFmtId="3" fontId="0" fillId="29" borderId="22" xfId="0" applyNumberFormat="1" applyFill="1" applyBorder="1" applyAlignment="1" applyProtection="1">
      <alignment horizontal="center" vertical="center"/>
      <protection hidden="1"/>
    </xf>
    <xf numFmtId="3" fontId="0" fillId="29" borderId="22" xfId="0" applyNumberFormat="1" applyFill="1" applyBorder="1" applyAlignment="1" applyProtection="1">
      <alignment horizontal="right" vertical="center"/>
      <protection hidden="1"/>
    </xf>
    <xf numFmtId="3" fontId="12" fillId="29" borderId="23" xfId="0" applyNumberFormat="1" applyFont="1" applyFill="1" applyBorder="1" applyAlignment="1" applyProtection="1">
      <alignment horizontal="right" vertical="center"/>
      <protection hidden="1"/>
    </xf>
    <xf numFmtId="3" fontId="0" fillId="29" borderId="21" xfId="0" applyNumberFormat="1" applyFill="1" applyBorder="1" applyAlignment="1" applyProtection="1">
      <alignment horizontal="right" vertical="center"/>
      <protection hidden="1"/>
    </xf>
    <xf numFmtId="3" fontId="10" fillId="29" borderId="22" xfId="0" applyNumberFormat="1" applyFont="1" applyFill="1" applyBorder="1" applyAlignment="1" applyProtection="1">
      <alignment horizontal="right" vertical="center"/>
      <protection hidden="1"/>
    </xf>
    <xf numFmtId="0" fontId="13" fillId="29" borderId="23" xfId="0" applyFont="1" applyFill="1" applyBorder="1" applyAlignment="1" applyProtection="1">
      <alignment horizontal="center" vertical="center"/>
      <protection hidden="1"/>
    </xf>
    <xf numFmtId="0" fontId="12" fillId="34" borderId="57" xfId="0" applyFont="1" applyFill="1" applyBorder="1" applyAlignment="1" applyProtection="1">
      <alignment horizontal="center" vertical="center"/>
      <protection hidden="1"/>
    </xf>
    <xf numFmtId="3" fontId="12" fillId="0" borderId="22" xfId="0" applyNumberFormat="1" applyFont="1" applyBorder="1" applyAlignment="1" applyProtection="1">
      <alignment horizontal="right" vertical="center"/>
      <protection hidden="1"/>
    </xf>
    <xf numFmtId="0" fontId="20" fillId="0" borderId="22" xfId="0" applyFont="1" applyBorder="1" applyAlignment="1" applyProtection="1">
      <alignment horizontal="center" vertical="center"/>
      <protection hidden="1"/>
    </xf>
    <xf numFmtId="0" fontId="25" fillId="0" borderId="22" xfId="0" applyFont="1" applyBorder="1" applyAlignment="1" applyProtection="1">
      <alignment horizontal="center" vertical="center"/>
      <protection hidden="1"/>
    </xf>
    <xf numFmtId="3" fontId="0" fillId="0" borderId="22" xfId="0" applyNumberFormat="1" applyBorder="1" applyAlignment="1" applyProtection="1">
      <alignment horizontal="right" vertical="center"/>
      <protection hidden="1"/>
    </xf>
    <xf numFmtId="3" fontId="12" fillId="0" borderId="23" xfId="0" applyNumberFormat="1" applyFont="1" applyBorder="1" applyAlignment="1" applyProtection="1">
      <alignment horizontal="right" vertical="center"/>
      <protection hidden="1"/>
    </xf>
    <xf numFmtId="3" fontId="0" fillId="0" borderId="21" xfId="0" applyNumberFormat="1" applyBorder="1" applyAlignment="1" applyProtection="1">
      <alignment horizontal="right" vertical="center"/>
      <protection hidden="1"/>
    </xf>
    <xf numFmtId="3" fontId="10" fillId="0" borderId="22" xfId="0" applyNumberFormat="1" applyFont="1" applyBorder="1" applyAlignment="1" applyProtection="1">
      <alignment horizontal="right" vertical="center"/>
      <protection hidden="1"/>
    </xf>
    <xf numFmtId="0" fontId="12" fillId="34" borderId="61" xfId="0" applyFont="1" applyFill="1" applyBorder="1" applyAlignment="1" applyProtection="1">
      <alignment horizontal="center" vertical="center"/>
      <protection hidden="1"/>
    </xf>
    <xf numFmtId="3" fontId="12" fillId="0" borderId="13" xfId="0" applyNumberFormat="1" applyFont="1" applyBorder="1" applyAlignment="1" applyProtection="1">
      <alignment horizontal="right" vertical="center"/>
      <protection hidden="1"/>
    </xf>
    <xf numFmtId="0" fontId="20" fillId="0" borderId="13" xfId="0" applyFont="1" applyBorder="1" applyAlignment="1" applyProtection="1">
      <alignment horizontal="center" vertical="center"/>
      <protection hidden="1"/>
    </xf>
    <xf numFmtId="0" fontId="25" fillId="0" borderId="13" xfId="0" applyFont="1" applyBorder="1" applyAlignment="1" applyProtection="1">
      <alignment horizontal="center" vertical="center"/>
      <protection hidden="1"/>
    </xf>
    <xf numFmtId="3" fontId="0" fillId="0" borderId="13" xfId="0" applyNumberFormat="1" applyBorder="1" applyAlignment="1" applyProtection="1">
      <alignment horizontal="right" vertical="center"/>
      <protection hidden="1"/>
    </xf>
    <xf numFmtId="3" fontId="12" fillId="0" borderId="25" xfId="0" applyNumberFormat="1" applyFont="1" applyBorder="1" applyAlignment="1" applyProtection="1">
      <alignment horizontal="right" vertical="center"/>
      <protection hidden="1"/>
    </xf>
    <xf numFmtId="3" fontId="0" fillId="0" borderId="12" xfId="0" applyNumberFormat="1" applyBorder="1" applyAlignment="1" applyProtection="1">
      <alignment horizontal="right" vertical="center"/>
      <protection hidden="1"/>
    </xf>
    <xf numFmtId="3" fontId="10" fillId="0" borderId="13" xfId="0" applyNumberFormat="1" applyFont="1" applyBorder="1" applyAlignment="1" applyProtection="1">
      <alignment horizontal="right" vertical="center"/>
      <protection hidden="1"/>
    </xf>
    <xf numFmtId="3" fontId="12" fillId="0" borderId="6" xfId="0" applyNumberFormat="1" applyFont="1" applyBorder="1" applyProtection="1">
      <alignment vertical="center"/>
      <protection hidden="1"/>
    </xf>
    <xf numFmtId="176" fontId="0" fillId="0" borderId="6" xfId="0" applyNumberFormat="1" applyBorder="1" applyAlignment="1" applyProtection="1">
      <alignment horizontal="center" vertical="center"/>
      <protection hidden="1"/>
    </xf>
    <xf numFmtId="3" fontId="0" fillId="0" borderId="6" xfId="0" applyNumberFormat="1" applyBorder="1" applyProtection="1">
      <alignment vertical="center"/>
      <protection hidden="1"/>
    </xf>
    <xf numFmtId="3" fontId="12" fillId="0" borderId="19" xfId="0" applyNumberFormat="1" applyFont="1" applyBorder="1" applyProtection="1">
      <alignment vertical="center"/>
      <protection hidden="1"/>
    </xf>
    <xf numFmtId="3" fontId="0" fillId="0" borderId="5" xfId="0" applyNumberFormat="1" applyBorder="1" applyProtection="1">
      <alignment vertical="center"/>
      <protection hidden="1"/>
    </xf>
    <xf numFmtId="3" fontId="10" fillId="0" borderId="6" xfId="0" applyNumberFormat="1" applyFont="1" applyBorder="1" applyProtection="1">
      <alignment vertical="center"/>
      <protection hidden="1"/>
    </xf>
    <xf numFmtId="3" fontId="0" fillId="0" borderId="18" xfId="0" applyNumberFormat="1" applyBorder="1" applyProtection="1">
      <alignment vertical="center"/>
      <protection hidden="1"/>
    </xf>
    <xf numFmtId="3" fontId="12" fillId="29" borderId="22" xfId="0" applyNumberFormat="1" applyFont="1" applyFill="1" applyBorder="1" applyProtection="1">
      <alignment vertical="center"/>
      <protection hidden="1"/>
    </xf>
    <xf numFmtId="176" fontId="0" fillId="29" borderId="22" xfId="0" applyNumberFormat="1" applyFill="1" applyBorder="1" applyAlignment="1" applyProtection="1">
      <alignment horizontal="center" vertical="center"/>
      <protection hidden="1"/>
    </xf>
    <xf numFmtId="3" fontId="0" fillId="29" borderId="22" xfId="0" applyNumberFormat="1" applyFill="1" applyBorder="1" applyProtection="1">
      <alignment vertical="center"/>
      <protection hidden="1"/>
    </xf>
    <xf numFmtId="3" fontId="12" fillId="29" borderId="23" xfId="0" applyNumberFormat="1" applyFont="1" applyFill="1" applyBorder="1" applyProtection="1">
      <alignment vertical="center"/>
      <protection hidden="1"/>
    </xf>
    <xf numFmtId="3" fontId="0" fillId="29" borderId="21" xfId="0" applyNumberFormat="1" applyFill="1" applyBorder="1" applyProtection="1">
      <alignment vertical="center"/>
      <protection hidden="1"/>
    </xf>
    <xf numFmtId="3" fontId="10" fillId="29" borderId="22" xfId="0" applyNumberFormat="1" applyFont="1" applyFill="1" applyBorder="1" applyProtection="1">
      <alignment vertical="center"/>
      <protection hidden="1"/>
    </xf>
    <xf numFmtId="3" fontId="0" fillId="29" borderId="20" xfId="0" applyNumberFormat="1" applyFill="1" applyBorder="1" applyProtection="1">
      <alignment vertical="center"/>
      <protection hidden="1"/>
    </xf>
    <xf numFmtId="3" fontId="12" fillId="0" borderId="22" xfId="0" applyNumberFormat="1" applyFont="1" applyBorder="1" applyProtection="1">
      <alignment vertical="center"/>
      <protection hidden="1"/>
    </xf>
    <xf numFmtId="176" fontId="0" fillId="0" borderId="22" xfId="0" applyNumberFormat="1" applyBorder="1" applyAlignment="1" applyProtection="1">
      <alignment horizontal="center" vertical="center"/>
      <protection hidden="1"/>
    </xf>
    <xf numFmtId="3" fontId="0" fillId="0" borderId="22" xfId="0" applyNumberFormat="1" applyBorder="1" applyProtection="1">
      <alignment vertical="center"/>
      <protection hidden="1"/>
    </xf>
    <xf numFmtId="3" fontId="12" fillId="0" borderId="23" xfId="0" applyNumberFormat="1" applyFont="1" applyBorder="1" applyProtection="1">
      <alignment vertical="center"/>
      <protection hidden="1"/>
    </xf>
    <xf numFmtId="3" fontId="0" fillId="0" borderId="21" xfId="0" applyNumberFormat="1" applyBorder="1" applyProtection="1">
      <alignment vertical="center"/>
      <protection hidden="1"/>
    </xf>
    <xf numFmtId="3" fontId="10" fillId="0" borderId="22" xfId="0" applyNumberFormat="1" applyFont="1" applyBorder="1" applyProtection="1">
      <alignment vertical="center"/>
      <protection hidden="1"/>
    </xf>
    <xf numFmtId="3" fontId="0" fillId="0" borderId="20" xfId="0" applyNumberFormat="1" applyBorder="1" applyProtection="1">
      <alignment vertical="center"/>
      <protection hidden="1"/>
    </xf>
    <xf numFmtId="3" fontId="12" fillId="0" borderId="13" xfId="0" applyNumberFormat="1" applyFont="1" applyBorder="1" applyProtection="1">
      <alignment vertical="center"/>
      <protection hidden="1"/>
    </xf>
    <xf numFmtId="176" fontId="0" fillId="0" borderId="13" xfId="0" applyNumberFormat="1" applyBorder="1" applyAlignment="1" applyProtection="1">
      <alignment horizontal="center" vertical="center"/>
      <protection hidden="1"/>
    </xf>
    <xf numFmtId="3" fontId="0" fillId="0" borderId="13" xfId="0" applyNumberFormat="1" applyBorder="1" applyProtection="1">
      <alignment vertical="center"/>
      <protection hidden="1"/>
    </xf>
    <xf numFmtId="3" fontId="12" fillId="0" borderId="25" xfId="0" applyNumberFormat="1" applyFont="1" applyBorder="1" applyProtection="1">
      <alignment vertical="center"/>
      <protection hidden="1"/>
    </xf>
    <xf numFmtId="3" fontId="0" fillId="0" borderId="12" xfId="0" applyNumberFormat="1" applyBorder="1" applyProtection="1">
      <alignment vertical="center"/>
      <protection hidden="1"/>
    </xf>
    <xf numFmtId="3" fontId="10" fillId="0" borderId="13" xfId="0" applyNumberFormat="1" applyFont="1" applyBorder="1" applyProtection="1">
      <alignment vertical="center"/>
      <protection hidden="1"/>
    </xf>
    <xf numFmtId="3" fontId="0" fillId="0" borderId="24" xfId="0" applyNumberFormat="1" applyBorder="1" applyProtection="1">
      <alignment vertical="center"/>
      <protection hidden="1"/>
    </xf>
    <xf numFmtId="0" fontId="0" fillId="32" borderId="23" xfId="0" applyFill="1" applyBorder="1" applyAlignment="1" applyProtection="1">
      <alignment horizontal="center" vertical="center"/>
      <protection locked="0"/>
    </xf>
    <xf numFmtId="0" fontId="0" fillId="32" borderId="25" xfId="0" applyFill="1" applyBorder="1" applyAlignment="1" applyProtection="1">
      <alignment horizontal="center" vertical="center"/>
      <protection locked="0"/>
    </xf>
    <xf numFmtId="3" fontId="0" fillId="0" borderId="64" xfId="0" applyNumberFormat="1" applyBorder="1" applyAlignment="1" applyProtection="1">
      <alignment horizontal="right" vertical="center"/>
      <protection hidden="1"/>
    </xf>
    <xf numFmtId="3" fontId="0" fillId="29" borderId="59" xfId="0" applyNumberFormat="1" applyFill="1" applyBorder="1" applyAlignment="1" applyProtection="1">
      <alignment horizontal="right" vertical="center"/>
      <protection hidden="1"/>
    </xf>
    <xf numFmtId="3" fontId="0" fillId="0" borderId="59" xfId="0" applyNumberFormat="1" applyBorder="1" applyAlignment="1" applyProtection="1">
      <alignment horizontal="right" vertical="center"/>
      <protection hidden="1"/>
    </xf>
    <xf numFmtId="3" fontId="0" fillId="0" borderId="62" xfId="0" applyNumberFormat="1" applyBorder="1" applyAlignment="1" applyProtection="1">
      <alignment horizontal="right" vertical="center"/>
      <protection hidden="1"/>
    </xf>
    <xf numFmtId="0" fontId="88" fillId="2" borderId="0" xfId="0" applyFont="1" applyFill="1" applyAlignment="1" applyProtection="1">
      <alignment horizontal="left" vertical="center"/>
      <protection hidden="1"/>
    </xf>
    <xf numFmtId="0" fontId="8" fillId="30" borderId="22" xfId="0" applyFont="1" applyFill="1" applyBorder="1" applyAlignment="1" applyProtection="1">
      <alignment horizontal="center" vertical="center"/>
      <protection hidden="1"/>
    </xf>
    <xf numFmtId="0" fontId="9" fillId="35" borderId="19" xfId="0" applyFont="1" applyFill="1" applyBorder="1" applyAlignment="1" applyProtection="1">
      <alignment horizontal="center" vertical="center" shrinkToFit="1"/>
      <protection hidden="1"/>
    </xf>
    <xf numFmtId="0" fontId="0" fillId="35" borderId="25" xfId="0" applyFill="1" applyBorder="1" applyAlignment="1" applyProtection="1">
      <alignment horizontal="center" vertical="center"/>
      <protection hidden="1"/>
    </xf>
    <xf numFmtId="0" fontId="0" fillId="35" borderId="36" xfId="0" applyFill="1" applyBorder="1" applyAlignment="1" applyProtection="1">
      <alignment horizontal="center" vertical="center"/>
      <protection hidden="1"/>
    </xf>
    <xf numFmtId="178" fontId="42" fillId="2" borderId="0" xfId="0" applyNumberFormat="1" applyFont="1" applyFill="1" applyBorder="1" applyAlignment="1" applyProtection="1">
      <alignment horizontal="center" vertical="center"/>
      <protection hidden="1"/>
    </xf>
    <xf numFmtId="0" fontId="19" fillId="2" borderId="0" xfId="0" applyFont="1" applyFill="1" applyProtection="1">
      <alignment vertical="center"/>
      <protection hidden="1"/>
    </xf>
    <xf numFmtId="3" fontId="11" fillId="2" borderId="0" xfId="0" applyNumberFormat="1" applyFont="1" applyFill="1" applyBorder="1" applyAlignment="1" applyProtection="1">
      <alignment horizontal="center" vertical="center"/>
      <protection hidden="1"/>
    </xf>
    <xf numFmtId="3" fontId="11" fillId="2" borderId="0" xfId="0" applyNumberFormat="1" applyFont="1" applyFill="1" applyBorder="1" applyProtection="1">
      <alignment vertical="center"/>
      <protection hidden="1"/>
    </xf>
    <xf numFmtId="0" fontId="19" fillId="2" borderId="0" xfId="0" applyFont="1" applyFill="1" applyBorder="1" applyProtection="1">
      <alignment vertical="center"/>
      <protection hidden="1"/>
    </xf>
    <xf numFmtId="0" fontId="82" fillId="2" borderId="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17" fillId="2" borderId="0" xfId="0" applyFont="1" applyFill="1" applyBorder="1" applyAlignment="1" applyProtection="1">
      <alignment vertical="center"/>
      <protection hidden="1"/>
    </xf>
    <xf numFmtId="0" fontId="51" fillId="2" borderId="0" xfId="0" applyFont="1" applyFill="1" applyBorder="1" applyAlignment="1" applyProtection="1">
      <alignment horizontal="center" vertical="center"/>
      <protection hidden="1"/>
    </xf>
    <xf numFmtId="0" fontId="12" fillId="34" borderId="18" xfId="0" applyFont="1" applyFill="1" applyBorder="1" applyAlignment="1" applyProtection="1">
      <alignment horizontal="center" vertical="center"/>
      <protection hidden="1"/>
    </xf>
    <xf numFmtId="0" fontId="12" fillId="29" borderId="20" xfId="0" applyFont="1" applyFill="1" applyBorder="1" applyAlignment="1" applyProtection="1">
      <alignment horizontal="center" vertical="center"/>
      <protection hidden="1"/>
    </xf>
    <xf numFmtId="0" fontId="12" fillId="34" borderId="20" xfId="0" applyFont="1" applyFill="1" applyBorder="1" applyAlignment="1" applyProtection="1">
      <alignment horizontal="center" vertical="center"/>
      <protection hidden="1"/>
    </xf>
    <xf numFmtId="0" fontId="12" fillId="34" borderId="24" xfId="0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53" fillId="17" borderId="18" xfId="0" applyFont="1" applyFill="1" applyBorder="1" applyAlignment="1" applyProtection="1">
      <alignment horizontal="center" vertical="center" wrapText="1"/>
    </xf>
    <xf numFmtId="0" fontId="53" fillId="17" borderId="24" xfId="0" applyFont="1" applyFill="1" applyBorder="1" applyAlignment="1" applyProtection="1">
      <alignment horizontal="center" vertical="center" wrapText="1"/>
    </xf>
    <xf numFmtId="0" fontId="16" fillId="3" borderId="1" xfId="0" applyFont="1" applyFill="1" applyBorder="1" applyAlignment="1" applyProtection="1">
      <alignment horizontal="center" vertical="center" shrinkToFit="1"/>
    </xf>
    <xf numFmtId="0" fontId="16" fillId="3" borderId="2" xfId="0" applyFont="1" applyFill="1" applyBorder="1" applyAlignment="1" applyProtection="1">
      <alignment horizontal="center" vertical="center" shrinkToFit="1"/>
    </xf>
    <xf numFmtId="0" fontId="16" fillId="3" borderId="3" xfId="0" applyFont="1" applyFill="1" applyBorder="1" applyAlignment="1" applyProtection="1">
      <alignment horizontal="center" vertical="center" shrinkToFit="1"/>
    </xf>
    <xf numFmtId="0" fontId="34" fillId="16" borderId="1" xfId="0" applyFont="1" applyFill="1" applyBorder="1" applyAlignment="1" applyProtection="1">
      <alignment horizontal="center" vertical="center"/>
    </xf>
    <xf numFmtId="0" fontId="34" fillId="16" borderId="2" xfId="0" applyFont="1" applyFill="1" applyBorder="1" applyAlignment="1" applyProtection="1">
      <alignment horizontal="center" vertical="center"/>
    </xf>
    <xf numFmtId="0" fontId="34" fillId="16" borderId="3" xfId="0" applyFont="1" applyFill="1" applyBorder="1" applyAlignment="1" applyProtection="1">
      <alignment horizontal="center" vertical="center"/>
    </xf>
    <xf numFmtId="0" fontId="34" fillId="16" borderId="1" xfId="0" applyFont="1" applyFill="1" applyBorder="1" applyAlignment="1" applyProtection="1">
      <alignment horizontal="center" vertical="center" shrinkToFit="1"/>
    </xf>
    <xf numFmtId="0" fontId="34" fillId="16" borderId="2" xfId="0" applyFont="1" applyFill="1" applyBorder="1" applyAlignment="1" applyProtection="1">
      <alignment horizontal="center" vertical="center" shrinkToFit="1"/>
    </xf>
    <xf numFmtId="0" fontId="34" fillId="16" borderId="3" xfId="0" applyFont="1" applyFill="1" applyBorder="1" applyAlignment="1" applyProtection="1">
      <alignment horizontal="center" vertical="center" shrinkToFit="1"/>
    </xf>
    <xf numFmtId="0" fontId="0" fillId="7" borderId="5" xfId="0" applyFill="1" applyBorder="1" applyAlignment="1" applyProtection="1">
      <alignment horizontal="center" vertical="center"/>
    </xf>
    <xf numFmtId="0" fontId="0" fillId="7" borderId="6" xfId="0" applyFill="1" applyBorder="1" applyAlignment="1" applyProtection="1">
      <alignment horizontal="center" vertical="center"/>
    </xf>
    <xf numFmtId="176" fontId="0" fillId="6" borderId="6" xfId="0" applyNumberFormat="1" applyFill="1" applyBorder="1" applyAlignment="1" applyProtection="1">
      <alignment horizontal="center" vertical="center"/>
      <protection locked="0"/>
    </xf>
    <xf numFmtId="176" fontId="0" fillId="6" borderId="19" xfId="0" applyNumberFormat="1" applyFill="1" applyBorder="1" applyAlignment="1" applyProtection="1">
      <alignment horizontal="center" vertical="center"/>
      <protection locked="0"/>
    </xf>
    <xf numFmtId="0" fontId="12" fillId="7" borderId="5" xfId="0" applyFont="1" applyFill="1" applyBorder="1" applyAlignment="1" applyProtection="1">
      <alignment horizontal="center" vertical="center" shrinkToFit="1"/>
      <protection hidden="1"/>
    </xf>
    <xf numFmtId="0" fontId="12" fillId="7" borderId="6" xfId="0" applyFont="1" applyFill="1" applyBorder="1" applyAlignment="1" applyProtection="1">
      <alignment horizontal="center" vertical="center" shrinkToFit="1"/>
      <protection hidden="1"/>
    </xf>
    <xf numFmtId="0" fontId="6" fillId="7" borderId="21" xfId="0" applyFont="1" applyFill="1" applyBorder="1" applyAlignment="1" applyProtection="1">
      <alignment horizontal="center" vertical="center" wrapText="1"/>
    </xf>
    <xf numFmtId="0" fontId="6" fillId="7" borderId="22" xfId="0" applyFont="1" applyFill="1" applyBorder="1" applyAlignment="1" applyProtection="1">
      <alignment horizontal="center" vertical="center" wrapText="1"/>
    </xf>
    <xf numFmtId="176" fontId="0" fillId="6" borderId="22" xfId="0" applyNumberFormat="1" applyFill="1" applyBorder="1" applyAlignment="1" applyProtection="1">
      <alignment horizontal="center" vertical="center"/>
      <protection locked="0"/>
    </xf>
    <xf numFmtId="176" fontId="0" fillId="6" borderId="23" xfId="0" applyNumberFormat="1" applyFill="1" applyBorder="1" applyAlignment="1" applyProtection="1">
      <alignment horizontal="center" vertical="center"/>
      <protection locked="0"/>
    </xf>
    <xf numFmtId="0" fontId="12" fillId="7" borderId="21" xfId="0" applyFont="1" applyFill="1" applyBorder="1" applyAlignment="1" applyProtection="1">
      <alignment horizontal="center" vertical="center"/>
      <protection hidden="1"/>
    </xf>
    <xf numFmtId="0" fontId="12" fillId="7" borderId="22" xfId="0" applyFont="1" applyFill="1" applyBorder="1" applyAlignment="1" applyProtection="1">
      <alignment horizontal="center" vertical="center"/>
      <protection hidden="1"/>
    </xf>
    <xf numFmtId="0" fontId="0" fillId="7" borderId="21" xfId="0" applyFill="1" applyBorder="1" applyAlignment="1" applyProtection="1">
      <alignment horizontal="center" vertical="center"/>
    </xf>
    <xf numFmtId="0" fontId="0" fillId="7" borderId="22" xfId="0" applyFill="1" applyBorder="1" applyAlignment="1" applyProtection="1">
      <alignment horizontal="center" vertical="center"/>
    </xf>
    <xf numFmtId="0" fontId="12" fillId="7" borderId="12" xfId="0" applyFont="1" applyFill="1" applyBorder="1" applyAlignment="1" applyProtection="1">
      <alignment horizontal="center" vertical="center"/>
    </xf>
    <xf numFmtId="0" fontId="12" fillId="7" borderId="13" xfId="0" applyFont="1" applyFill="1" applyBorder="1" applyAlignment="1" applyProtection="1">
      <alignment horizontal="center" vertical="center"/>
    </xf>
    <xf numFmtId="0" fontId="47" fillId="17" borderId="6" xfId="0" applyFont="1" applyFill="1" applyBorder="1" applyAlignment="1" applyProtection="1">
      <alignment horizontal="center" vertical="center" wrapText="1"/>
    </xf>
    <xf numFmtId="0" fontId="47" fillId="17" borderId="13" xfId="0" applyFont="1" applyFill="1" applyBorder="1" applyAlignment="1" applyProtection="1">
      <alignment horizontal="center" vertical="center" wrapText="1"/>
    </xf>
    <xf numFmtId="0" fontId="33" fillId="7" borderId="34" xfId="0" applyFont="1" applyFill="1" applyBorder="1" applyAlignment="1" applyProtection="1">
      <alignment horizontal="center" vertical="center"/>
      <protection hidden="1"/>
    </xf>
    <xf numFmtId="0" fontId="33" fillId="7" borderId="35" xfId="0" applyFont="1" applyFill="1" applyBorder="1" applyAlignment="1" applyProtection="1">
      <alignment horizontal="center" vertical="center"/>
      <protection hidden="1"/>
    </xf>
    <xf numFmtId="0" fontId="18" fillId="7" borderId="12" xfId="0" applyFont="1" applyFill="1" applyBorder="1" applyAlignment="1" applyProtection="1">
      <alignment horizontal="center" vertical="center"/>
      <protection hidden="1"/>
    </xf>
    <xf numFmtId="0" fontId="18" fillId="7" borderId="13" xfId="0" applyFont="1" applyFill="1" applyBorder="1" applyAlignment="1" applyProtection="1">
      <alignment horizontal="center" vertical="center"/>
      <protection hidden="1"/>
    </xf>
    <xf numFmtId="176" fontId="28" fillId="6" borderId="13" xfId="0" applyNumberFormat="1" applyFont="1" applyFill="1" applyBorder="1" applyAlignment="1" applyProtection="1">
      <alignment horizontal="center" vertical="center" wrapText="1"/>
      <protection locked="0"/>
    </xf>
    <xf numFmtId="176" fontId="28" fillId="6" borderId="25" xfId="0" applyNumberFormat="1" applyFont="1" applyFill="1" applyBorder="1" applyAlignment="1" applyProtection="1">
      <alignment horizontal="center" vertical="center" wrapText="1"/>
      <protection locked="0"/>
    </xf>
    <xf numFmtId="0" fontId="8" fillId="7" borderId="12" xfId="0" applyFont="1" applyFill="1" applyBorder="1" applyAlignment="1" applyProtection="1">
      <alignment horizontal="center" vertical="center"/>
      <protection hidden="1"/>
    </xf>
    <xf numFmtId="0" fontId="8" fillId="7" borderId="13" xfId="0" applyFont="1" applyFill="1" applyBorder="1" applyAlignment="1" applyProtection="1">
      <alignment horizontal="center" vertical="center"/>
      <protection hidden="1"/>
    </xf>
    <xf numFmtId="0" fontId="73" fillId="0" borderId="4" xfId="0" applyFont="1" applyBorder="1" applyAlignment="1" applyProtection="1">
      <alignment horizontal="center" vertical="center" wrapText="1"/>
    </xf>
    <xf numFmtId="0" fontId="74" fillId="0" borderId="11" xfId="0" applyFont="1" applyBorder="1" applyAlignment="1" applyProtection="1">
      <alignment horizontal="center" vertical="center"/>
    </xf>
    <xf numFmtId="0" fontId="47" fillId="17" borderId="5" xfId="0" applyFont="1" applyFill="1" applyBorder="1" applyAlignment="1" applyProtection="1">
      <alignment horizontal="center" vertical="center" wrapText="1"/>
    </xf>
    <xf numFmtId="0" fontId="47" fillId="17" borderId="12" xfId="0" applyFont="1" applyFill="1" applyBorder="1" applyAlignment="1" applyProtection="1">
      <alignment horizontal="center" vertical="center" wrapText="1"/>
    </xf>
    <xf numFmtId="0" fontId="50" fillId="17" borderId="13" xfId="0" applyFont="1" applyFill="1" applyBorder="1" applyProtection="1">
      <alignment vertical="center"/>
    </xf>
    <xf numFmtId="0" fontId="47" fillId="17" borderId="26" xfId="0" applyFont="1" applyFill="1" applyBorder="1" applyAlignment="1" applyProtection="1">
      <alignment horizontal="center" vertical="center" wrapText="1"/>
    </xf>
    <xf numFmtId="0" fontId="47" fillId="17" borderId="27" xfId="0" applyFont="1" applyFill="1" applyBorder="1" applyAlignment="1" applyProtection="1">
      <alignment horizontal="center" vertical="center" wrapText="1"/>
    </xf>
    <xf numFmtId="0" fontId="50" fillId="17" borderId="27" xfId="0" applyFont="1" applyFill="1" applyBorder="1" applyProtection="1">
      <alignment vertical="center"/>
    </xf>
    <xf numFmtId="0" fontId="18" fillId="4" borderId="4" xfId="0" applyFont="1" applyFill="1" applyBorder="1" applyAlignment="1" applyProtection="1">
      <alignment horizontal="center" vertical="center" wrapText="1"/>
      <protection hidden="1"/>
    </xf>
    <xf numFmtId="0" fontId="18" fillId="4" borderId="33" xfId="0" applyFont="1" applyFill="1" applyBorder="1" applyAlignment="1" applyProtection="1">
      <alignment horizontal="center" vertical="center"/>
      <protection hidden="1"/>
    </xf>
    <xf numFmtId="0" fontId="18" fillId="4" borderId="11" xfId="0" applyFont="1" applyFill="1" applyBorder="1" applyAlignment="1" applyProtection="1">
      <alignment horizontal="center" vertical="center"/>
      <protection hidden="1"/>
    </xf>
    <xf numFmtId="0" fontId="42" fillId="18" borderId="8" xfId="0" applyFont="1" applyFill="1" applyBorder="1" applyAlignment="1" applyProtection="1">
      <alignment horizontal="center" vertical="center" wrapText="1"/>
    </xf>
    <xf numFmtId="0" fontId="44" fillId="18" borderId="15" xfId="0" applyFont="1" applyFill="1" applyBorder="1" applyAlignment="1" applyProtection="1">
      <alignment horizontal="center" vertical="center"/>
    </xf>
    <xf numFmtId="0" fontId="11" fillId="18" borderId="9" xfId="0" applyFont="1" applyFill="1" applyBorder="1" applyAlignment="1" applyProtection="1">
      <alignment horizontal="center" vertical="center" wrapText="1"/>
    </xf>
    <xf numFmtId="0" fontId="49" fillId="18" borderId="16" xfId="0" applyFont="1" applyFill="1" applyBorder="1" applyAlignment="1" applyProtection="1">
      <alignment horizontal="center" vertical="center"/>
    </xf>
    <xf numFmtId="0" fontId="2" fillId="18" borderId="10" xfId="0" applyFont="1" applyFill="1" applyBorder="1" applyAlignment="1" applyProtection="1">
      <alignment horizontal="center" vertical="center"/>
    </xf>
    <xf numFmtId="0" fontId="2" fillId="18" borderId="17" xfId="0" applyFont="1" applyFill="1" applyBorder="1" applyAlignment="1" applyProtection="1">
      <alignment horizontal="center" vertical="center"/>
    </xf>
    <xf numFmtId="0" fontId="51" fillId="17" borderId="4" xfId="0" applyFont="1" applyFill="1" applyBorder="1" applyAlignment="1" applyProtection="1">
      <alignment horizontal="center" vertical="center"/>
      <protection locked="0"/>
    </xf>
    <xf numFmtId="0" fontId="51" fillId="17" borderId="11" xfId="0" applyFont="1" applyFill="1" applyBorder="1" applyAlignment="1" applyProtection="1">
      <alignment horizontal="center" vertical="center"/>
      <protection locked="0"/>
    </xf>
    <xf numFmtId="0" fontId="24" fillId="8" borderId="4" xfId="0" applyFont="1" applyFill="1" applyBorder="1" applyAlignment="1" applyProtection="1">
      <alignment horizontal="center" vertical="center" wrapText="1"/>
      <protection hidden="1"/>
    </xf>
    <xf numFmtId="0" fontId="24" fillId="8" borderId="33" xfId="0" applyFont="1" applyFill="1" applyBorder="1" applyAlignment="1" applyProtection="1">
      <alignment horizontal="center" vertical="center" wrapText="1"/>
      <protection hidden="1"/>
    </xf>
    <xf numFmtId="0" fontId="24" fillId="21" borderId="4" xfId="0" applyFont="1" applyFill="1" applyBorder="1" applyAlignment="1" applyProtection="1">
      <alignment horizontal="center" vertical="center" wrapText="1"/>
      <protection hidden="1"/>
    </xf>
    <xf numFmtId="0" fontId="24" fillId="21" borderId="33" xfId="0" applyFont="1" applyFill="1" applyBorder="1" applyAlignment="1" applyProtection="1">
      <alignment horizontal="center" vertical="center"/>
      <protection hidden="1"/>
    </xf>
    <xf numFmtId="0" fontId="24" fillId="21" borderId="11" xfId="0" applyFont="1" applyFill="1" applyBorder="1" applyAlignment="1" applyProtection="1">
      <alignment horizontal="center" vertical="center"/>
      <protection hidden="1"/>
    </xf>
    <xf numFmtId="0" fontId="24" fillId="2" borderId="40" xfId="0" applyFont="1" applyFill="1" applyBorder="1" applyAlignment="1" applyProtection="1">
      <alignment horizontal="center" vertical="center"/>
      <protection hidden="1"/>
    </xf>
    <xf numFmtId="0" fontId="24" fillId="2" borderId="41" xfId="0" applyFont="1" applyFill="1" applyBorder="1" applyAlignment="1" applyProtection="1">
      <alignment horizontal="center" vertical="center"/>
      <protection hidden="1"/>
    </xf>
    <xf numFmtId="0" fontId="58" fillId="19" borderId="4" xfId="0" applyFont="1" applyFill="1" applyBorder="1" applyAlignment="1" applyProtection="1">
      <alignment horizontal="center" vertical="center" wrapText="1"/>
      <protection hidden="1"/>
    </xf>
    <xf numFmtId="0" fontId="58" fillId="19" borderId="33" xfId="0" applyFont="1" applyFill="1" applyBorder="1" applyAlignment="1" applyProtection="1">
      <alignment horizontal="center" vertical="center"/>
      <protection hidden="1"/>
    </xf>
    <xf numFmtId="0" fontId="58" fillId="19" borderId="11" xfId="0" applyFont="1" applyFill="1" applyBorder="1" applyAlignment="1" applyProtection="1">
      <alignment horizontal="center" vertical="center"/>
      <protection hidden="1"/>
    </xf>
    <xf numFmtId="0" fontId="58" fillId="7" borderId="4" xfId="0" applyFont="1" applyFill="1" applyBorder="1" applyAlignment="1" applyProtection="1">
      <alignment horizontal="center" vertical="center" wrapText="1"/>
      <protection hidden="1"/>
    </xf>
    <xf numFmtId="0" fontId="58" fillId="7" borderId="33" xfId="0" applyFont="1" applyFill="1" applyBorder="1" applyAlignment="1" applyProtection="1">
      <alignment horizontal="center" vertical="center"/>
      <protection hidden="1"/>
    </xf>
    <xf numFmtId="0" fontId="58" fillId="7" borderId="11" xfId="0" applyFont="1" applyFill="1" applyBorder="1" applyAlignment="1" applyProtection="1">
      <alignment horizontal="center" vertical="center"/>
      <protection hidden="1"/>
    </xf>
    <xf numFmtId="0" fontId="68" fillId="3" borderId="1" xfId="0" applyFont="1" applyFill="1" applyBorder="1" applyAlignment="1" applyProtection="1">
      <alignment horizontal="center" vertical="center" shrinkToFit="1"/>
      <protection hidden="1"/>
    </xf>
    <xf numFmtId="0" fontId="68" fillId="3" borderId="2" xfId="0" applyFont="1" applyFill="1" applyBorder="1" applyAlignment="1" applyProtection="1">
      <alignment horizontal="center" vertical="center" shrinkToFit="1"/>
      <protection hidden="1"/>
    </xf>
    <xf numFmtId="0" fontId="68" fillId="3" borderId="3" xfId="0" applyFont="1" applyFill="1" applyBorder="1" applyAlignment="1" applyProtection="1">
      <alignment horizontal="center" vertical="center" shrinkToFit="1"/>
      <protection hidden="1"/>
    </xf>
    <xf numFmtId="0" fontId="72" fillId="9" borderId="5" xfId="0" applyFont="1" applyFill="1" applyBorder="1" applyAlignment="1" applyProtection="1">
      <alignment horizontal="center" vertical="center" wrapText="1"/>
      <protection hidden="1"/>
    </xf>
    <xf numFmtId="0" fontId="72" fillId="9" borderId="26" xfId="0" applyFont="1" applyFill="1" applyBorder="1" applyAlignment="1" applyProtection="1">
      <alignment horizontal="center" vertical="center" wrapText="1"/>
      <protection hidden="1"/>
    </xf>
    <xf numFmtId="0" fontId="79" fillId="28" borderId="44" xfId="0" applyFont="1" applyFill="1" applyBorder="1" applyAlignment="1" applyProtection="1">
      <alignment horizontal="center" vertical="center" wrapText="1"/>
      <protection hidden="1"/>
    </xf>
    <xf numFmtId="0" fontId="0" fillId="7" borderId="5" xfId="0" applyFill="1" applyBorder="1" applyAlignment="1" applyProtection="1">
      <alignment horizontal="center" vertical="center"/>
      <protection hidden="1"/>
    </xf>
    <xf numFmtId="0" fontId="0" fillId="7" borderId="6" xfId="0" applyFill="1" applyBorder="1" applyAlignment="1" applyProtection="1">
      <alignment horizontal="center" vertical="center"/>
      <protection hidden="1"/>
    </xf>
    <xf numFmtId="0" fontId="6" fillId="7" borderId="21" xfId="0" applyFont="1" applyFill="1" applyBorder="1" applyAlignment="1" applyProtection="1">
      <alignment horizontal="center" vertical="center" wrapText="1"/>
      <protection hidden="1"/>
    </xf>
    <xf numFmtId="0" fontId="6" fillId="7" borderId="22" xfId="0" applyFont="1" applyFill="1" applyBorder="1" applyAlignment="1" applyProtection="1">
      <alignment horizontal="center" vertical="center" wrapText="1"/>
      <protection hidden="1"/>
    </xf>
    <xf numFmtId="0" fontId="0" fillId="7" borderId="21" xfId="0" applyFill="1" applyBorder="1" applyAlignment="1" applyProtection="1">
      <alignment horizontal="center" vertical="center"/>
      <protection hidden="1"/>
    </xf>
    <xf numFmtId="0" fontId="0" fillId="7" borderId="22" xfId="0" applyFill="1" applyBorder="1" applyAlignment="1" applyProtection="1">
      <alignment horizontal="center" vertical="center"/>
      <protection hidden="1"/>
    </xf>
    <xf numFmtId="176" fontId="28" fillId="7" borderId="13" xfId="0" applyNumberFormat="1" applyFont="1" applyFill="1" applyBorder="1" applyAlignment="1" applyProtection="1">
      <alignment horizontal="center" vertical="center" wrapText="1"/>
      <protection hidden="1"/>
    </xf>
    <xf numFmtId="176" fontId="28" fillId="7" borderId="25" xfId="0" applyNumberFormat="1" applyFont="1" applyFill="1" applyBorder="1" applyAlignment="1" applyProtection="1">
      <alignment horizontal="center" vertical="center" wrapText="1"/>
      <protection hidden="1"/>
    </xf>
    <xf numFmtId="0" fontId="34" fillId="10" borderId="1" xfId="0" applyFont="1" applyFill="1" applyBorder="1" applyAlignment="1" applyProtection="1">
      <alignment horizontal="center" vertical="center"/>
      <protection hidden="1"/>
    </xf>
    <xf numFmtId="0" fontId="34" fillId="10" borderId="2" xfId="0" applyFont="1" applyFill="1" applyBorder="1" applyAlignment="1" applyProtection="1">
      <alignment horizontal="center" vertical="center"/>
      <protection hidden="1"/>
    </xf>
    <xf numFmtId="0" fontId="34" fillId="10" borderId="3" xfId="0" applyFont="1" applyFill="1" applyBorder="1" applyAlignment="1" applyProtection="1">
      <alignment horizontal="center" vertical="center"/>
      <protection hidden="1"/>
    </xf>
    <xf numFmtId="0" fontId="34" fillId="10" borderId="1" xfId="0" applyFont="1" applyFill="1" applyBorder="1" applyAlignment="1" applyProtection="1">
      <alignment horizontal="center" vertical="center" shrinkToFit="1"/>
      <protection hidden="1"/>
    </xf>
    <xf numFmtId="0" fontId="34" fillId="10" borderId="2" xfId="0" applyFont="1" applyFill="1" applyBorder="1" applyAlignment="1" applyProtection="1">
      <alignment horizontal="center" vertical="center" shrinkToFit="1"/>
      <protection hidden="1"/>
    </xf>
    <xf numFmtId="0" fontId="34" fillId="10" borderId="3" xfId="0" applyFont="1" applyFill="1" applyBorder="1" applyAlignment="1" applyProtection="1">
      <alignment horizontal="center" vertical="center" shrinkToFit="1"/>
      <protection hidden="1"/>
    </xf>
    <xf numFmtId="0" fontId="9" fillId="9" borderId="10" xfId="0" applyFont="1" applyFill="1" applyBorder="1" applyAlignment="1" applyProtection="1">
      <alignment horizontal="center" vertical="center"/>
      <protection hidden="1"/>
    </xf>
    <xf numFmtId="0" fontId="9" fillId="9" borderId="17" xfId="0" applyFont="1" applyFill="1" applyBorder="1" applyAlignment="1" applyProtection="1">
      <alignment horizontal="center" vertical="center"/>
      <protection hidden="1"/>
    </xf>
    <xf numFmtId="0" fontId="3" fillId="2" borderId="40" xfId="0" applyFont="1" applyFill="1" applyBorder="1" applyAlignment="1" applyProtection="1">
      <alignment horizontal="center" vertical="center" wrapText="1"/>
      <protection hidden="1"/>
    </xf>
    <xf numFmtId="0" fontId="3" fillId="2" borderId="40" xfId="0" applyFont="1" applyFill="1" applyBorder="1" applyAlignment="1" applyProtection="1">
      <alignment horizontal="center" vertical="center"/>
      <protection hidden="1"/>
    </xf>
    <xf numFmtId="0" fontId="23" fillId="9" borderId="8" xfId="0" applyFont="1" applyFill="1" applyBorder="1" applyAlignment="1" applyProtection="1">
      <alignment horizontal="center" vertical="center" wrapText="1"/>
      <protection hidden="1"/>
    </xf>
    <xf numFmtId="0" fontId="23" fillId="9" borderId="15" xfId="0" applyFont="1" applyFill="1" applyBorder="1" applyAlignment="1" applyProtection="1">
      <alignment horizontal="center" vertical="center"/>
      <protection hidden="1"/>
    </xf>
    <xf numFmtId="0" fontId="18" fillId="9" borderId="9" xfId="0" applyFont="1" applyFill="1" applyBorder="1" applyAlignment="1" applyProtection="1">
      <alignment horizontal="center" vertical="center" wrapText="1"/>
      <protection hidden="1"/>
    </xf>
    <xf numFmtId="0" fontId="18" fillId="9" borderId="16" xfId="0" applyFont="1" applyFill="1" applyBorder="1" applyAlignment="1" applyProtection="1">
      <alignment horizontal="center" vertical="center"/>
      <protection hidden="1"/>
    </xf>
    <xf numFmtId="0" fontId="12" fillId="7" borderId="12" xfId="0" applyFont="1" applyFill="1" applyBorder="1" applyAlignment="1" applyProtection="1">
      <alignment horizontal="center" vertical="center"/>
      <protection hidden="1"/>
    </xf>
    <xf numFmtId="0" fontId="12" fillId="7" borderId="13" xfId="0" applyFont="1" applyFill="1" applyBorder="1" applyAlignment="1" applyProtection="1">
      <alignment horizontal="center" vertical="center"/>
      <protection hidden="1"/>
    </xf>
    <xf numFmtId="0" fontId="12" fillId="9" borderId="4" xfId="0" applyFont="1" applyFill="1" applyBorder="1" applyAlignment="1" applyProtection="1">
      <alignment horizontal="center" vertical="center"/>
      <protection hidden="1"/>
    </xf>
    <xf numFmtId="0" fontId="12" fillId="9" borderId="11" xfId="0" applyFont="1" applyFill="1" applyBorder="1" applyAlignment="1" applyProtection="1">
      <alignment horizontal="center" vertical="center"/>
      <protection hidden="1"/>
    </xf>
    <xf numFmtId="0" fontId="73" fillId="0" borderId="4" xfId="0" applyFont="1" applyBorder="1" applyAlignment="1" applyProtection="1">
      <alignment horizontal="center" vertical="center" wrapText="1"/>
      <protection hidden="1"/>
    </xf>
    <xf numFmtId="0" fontId="74" fillId="0" borderId="11" xfId="0" applyFont="1" applyBorder="1" applyAlignment="1" applyProtection="1">
      <alignment horizontal="center" vertical="center"/>
      <protection hidden="1"/>
    </xf>
    <xf numFmtId="0" fontId="38" fillId="9" borderId="5" xfId="0" applyFont="1" applyFill="1" applyBorder="1" applyAlignment="1" applyProtection="1">
      <alignment horizontal="center" vertical="center" wrapText="1"/>
      <protection hidden="1"/>
    </xf>
    <xf numFmtId="0" fontId="38" fillId="9" borderId="12" xfId="0" applyFont="1" applyFill="1" applyBorder="1" applyAlignment="1" applyProtection="1">
      <alignment horizontal="center" vertical="center" wrapText="1"/>
      <protection hidden="1"/>
    </xf>
    <xf numFmtId="0" fontId="38" fillId="9" borderId="6" xfId="0" applyFont="1" applyFill="1" applyBorder="1" applyAlignment="1" applyProtection="1">
      <alignment horizontal="center" vertical="center" wrapText="1"/>
      <protection hidden="1"/>
    </xf>
    <xf numFmtId="0" fontId="38" fillId="9" borderId="13" xfId="0" applyFont="1" applyFill="1" applyBorder="1" applyAlignment="1" applyProtection="1">
      <alignment horizontal="center" vertical="center" wrapText="1"/>
      <protection hidden="1"/>
    </xf>
    <xf numFmtId="0" fontId="9" fillId="9" borderId="13" xfId="0" applyFont="1" applyFill="1" applyBorder="1" applyProtection="1">
      <alignment vertical="center"/>
      <protection hidden="1"/>
    </xf>
    <xf numFmtId="0" fontId="38" fillId="9" borderId="27" xfId="0" applyFont="1" applyFill="1" applyBorder="1" applyAlignment="1" applyProtection="1">
      <alignment horizontal="center" vertical="center" wrapText="1"/>
      <protection hidden="1"/>
    </xf>
    <xf numFmtId="0" fontId="36" fillId="7" borderId="4" xfId="0" applyFont="1" applyFill="1" applyBorder="1" applyAlignment="1" applyProtection="1">
      <alignment horizontal="center" vertical="center" wrapText="1"/>
      <protection hidden="1"/>
    </xf>
    <xf numFmtId="0" fontId="36" fillId="7" borderId="33" xfId="0" applyFont="1" applyFill="1" applyBorder="1" applyAlignment="1" applyProtection="1">
      <alignment horizontal="center" vertical="center" wrapText="1"/>
      <protection hidden="1"/>
    </xf>
    <xf numFmtId="0" fontId="36" fillId="7" borderId="11" xfId="0" applyFont="1" applyFill="1" applyBorder="1" applyAlignment="1" applyProtection="1">
      <alignment horizontal="center" vertical="center" wrapText="1"/>
      <protection hidden="1"/>
    </xf>
    <xf numFmtId="0" fontId="38" fillId="9" borderId="26" xfId="0" applyFont="1" applyFill="1" applyBorder="1" applyAlignment="1" applyProtection="1">
      <alignment horizontal="center" vertical="center" wrapText="1"/>
      <protection hidden="1"/>
    </xf>
    <xf numFmtId="0" fontId="9" fillId="9" borderId="27" xfId="0" applyFont="1" applyFill="1" applyBorder="1" applyProtection="1">
      <alignment vertical="center"/>
      <protection hidden="1"/>
    </xf>
    <xf numFmtId="0" fontId="24" fillId="4" borderId="4" xfId="0" applyFont="1" applyFill="1" applyBorder="1" applyAlignment="1" applyProtection="1">
      <alignment horizontal="center" vertical="center" wrapText="1"/>
      <protection hidden="1"/>
    </xf>
    <xf numFmtId="0" fontId="24" fillId="4" borderId="33" xfId="0" applyFont="1" applyFill="1" applyBorder="1" applyAlignment="1" applyProtection="1">
      <alignment horizontal="center" vertical="center" wrapText="1"/>
      <protection hidden="1"/>
    </xf>
    <xf numFmtId="0" fontId="24" fillId="4" borderId="11" xfId="0" applyFont="1" applyFill="1" applyBorder="1" applyAlignment="1" applyProtection="1">
      <alignment horizontal="center" vertical="center" wrapText="1"/>
      <protection hidden="1"/>
    </xf>
    <xf numFmtId="0" fontId="24" fillId="21" borderId="33" xfId="0" applyFont="1" applyFill="1" applyBorder="1" applyAlignment="1" applyProtection="1">
      <alignment horizontal="center" vertical="center" wrapText="1"/>
      <protection hidden="1"/>
    </xf>
    <xf numFmtId="0" fontId="24" fillId="21" borderId="11" xfId="0" applyFont="1" applyFill="1" applyBorder="1" applyAlignment="1" applyProtection="1">
      <alignment horizontal="center" vertical="center" wrapText="1"/>
      <protection hidden="1"/>
    </xf>
    <xf numFmtId="0" fontId="24" fillId="8" borderId="33" xfId="0" applyFont="1" applyFill="1" applyBorder="1" applyAlignment="1" applyProtection="1">
      <alignment horizontal="center" vertical="center"/>
      <protection hidden="1"/>
    </xf>
    <xf numFmtId="0" fontId="25" fillId="2" borderId="4" xfId="0" applyFont="1" applyFill="1" applyBorder="1" applyAlignment="1" applyProtection="1">
      <alignment horizontal="center" vertical="center"/>
      <protection hidden="1"/>
    </xf>
    <xf numFmtId="0" fontId="25" fillId="2" borderId="11" xfId="0" applyFont="1" applyFill="1" applyBorder="1" applyAlignment="1" applyProtection="1">
      <alignment horizontal="center" vertical="center"/>
      <protection hidden="1"/>
    </xf>
    <xf numFmtId="0" fontId="23" fillId="9" borderId="39" xfId="0" applyFont="1" applyFill="1" applyBorder="1" applyAlignment="1" applyProtection="1">
      <alignment horizontal="center" vertical="center"/>
      <protection hidden="1"/>
    </xf>
    <xf numFmtId="0" fontId="18" fillId="9" borderId="37" xfId="0" applyFont="1" applyFill="1" applyBorder="1" applyAlignment="1" applyProtection="1">
      <alignment horizontal="center" vertical="center"/>
      <protection hidden="1"/>
    </xf>
    <xf numFmtId="0" fontId="9" fillId="9" borderId="38" xfId="0" applyFont="1" applyFill="1" applyBorder="1" applyAlignment="1" applyProtection="1">
      <alignment horizontal="center" vertical="center"/>
      <protection hidden="1"/>
    </xf>
    <xf numFmtId="0" fontId="24" fillId="23" borderId="4" xfId="0" applyFont="1" applyFill="1" applyBorder="1" applyAlignment="1" applyProtection="1">
      <alignment horizontal="center" vertical="center" wrapText="1"/>
      <protection hidden="1"/>
    </xf>
    <xf numFmtId="0" fontId="24" fillId="23" borderId="33" xfId="0" applyFont="1" applyFill="1" applyBorder="1" applyAlignment="1" applyProtection="1">
      <alignment horizontal="center" vertical="center"/>
      <protection hidden="1"/>
    </xf>
    <xf numFmtId="0" fontId="24" fillId="23" borderId="11" xfId="0" applyFont="1" applyFill="1" applyBorder="1" applyAlignment="1" applyProtection="1">
      <alignment horizontal="center" vertical="center"/>
      <protection hidden="1"/>
    </xf>
    <xf numFmtId="0" fontId="12" fillId="20" borderId="4" xfId="0" applyFont="1" applyFill="1" applyBorder="1" applyAlignment="1" applyProtection="1">
      <alignment horizontal="center" vertical="center" wrapText="1"/>
      <protection hidden="1"/>
    </xf>
    <xf numFmtId="0" fontId="12" fillId="20" borderId="33" xfId="0" applyFont="1" applyFill="1" applyBorder="1" applyAlignment="1" applyProtection="1">
      <alignment horizontal="center" vertical="center"/>
      <protection hidden="1"/>
    </xf>
    <xf numFmtId="0" fontId="12" fillId="20" borderId="11" xfId="0" applyFont="1" applyFill="1" applyBorder="1" applyAlignment="1" applyProtection="1">
      <alignment horizontal="center" vertical="center"/>
      <protection hidden="1"/>
    </xf>
    <xf numFmtId="0" fontId="53" fillId="12" borderId="18" xfId="0" applyFont="1" applyFill="1" applyBorder="1" applyAlignment="1" applyProtection="1">
      <alignment horizontal="center" vertical="center" wrapText="1"/>
      <protection hidden="1"/>
    </xf>
    <xf numFmtId="0" fontId="53" fillId="12" borderId="24" xfId="0" applyFont="1" applyFill="1" applyBorder="1" applyAlignment="1" applyProtection="1">
      <alignment horizontal="center" vertical="center" wrapText="1"/>
      <protection hidden="1"/>
    </xf>
    <xf numFmtId="0" fontId="18" fillId="22" borderId="4" xfId="0" applyFont="1" applyFill="1" applyBorder="1" applyAlignment="1" applyProtection="1">
      <alignment horizontal="center" vertical="center" wrapText="1"/>
      <protection hidden="1"/>
    </xf>
    <xf numFmtId="0" fontId="18" fillId="22" borderId="11" xfId="0" applyFont="1" applyFill="1" applyBorder="1" applyAlignment="1" applyProtection="1">
      <alignment horizontal="center" vertical="center" wrapText="1"/>
      <protection hidden="1"/>
    </xf>
    <xf numFmtId="0" fontId="47" fillId="12" borderId="6" xfId="0" applyFont="1" applyFill="1" applyBorder="1" applyAlignment="1" applyProtection="1">
      <alignment horizontal="center" vertical="center" wrapText="1"/>
      <protection hidden="1"/>
    </xf>
    <xf numFmtId="0" fontId="47" fillId="12" borderId="13" xfId="0" applyFont="1" applyFill="1" applyBorder="1" applyAlignment="1" applyProtection="1">
      <alignment horizontal="center" vertical="center" wrapText="1"/>
      <protection hidden="1"/>
    </xf>
    <xf numFmtId="0" fontId="47" fillId="12" borderId="5" xfId="0" applyFont="1" applyFill="1" applyBorder="1" applyAlignment="1" applyProtection="1">
      <alignment horizontal="center" vertical="center" wrapText="1"/>
      <protection hidden="1"/>
    </xf>
    <xf numFmtId="0" fontId="47" fillId="12" borderId="12" xfId="0" applyFont="1" applyFill="1" applyBorder="1" applyAlignment="1" applyProtection="1">
      <alignment horizontal="center" vertical="center" wrapText="1"/>
      <protection hidden="1"/>
    </xf>
    <xf numFmtId="0" fontId="50" fillId="12" borderId="13" xfId="0" applyFont="1" applyFill="1" applyBorder="1" applyProtection="1">
      <alignment vertical="center"/>
      <protection hidden="1"/>
    </xf>
    <xf numFmtId="0" fontId="48" fillId="12" borderId="5" xfId="0" applyFont="1" applyFill="1" applyBorder="1" applyAlignment="1" applyProtection="1">
      <alignment horizontal="center" vertical="center" wrapText="1"/>
      <protection hidden="1"/>
    </xf>
    <xf numFmtId="0" fontId="48" fillId="12" borderId="12" xfId="0" applyFont="1" applyFill="1" applyBorder="1" applyAlignment="1" applyProtection="1">
      <alignment horizontal="center" vertical="center" wrapText="1"/>
      <protection hidden="1"/>
    </xf>
    <xf numFmtId="0" fontId="48" fillId="12" borderId="6" xfId="0" applyFont="1" applyFill="1" applyBorder="1" applyAlignment="1" applyProtection="1">
      <alignment horizontal="center" vertical="center" wrapText="1"/>
      <protection hidden="1"/>
    </xf>
    <xf numFmtId="0" fontId="48" fillId="12" borderId="13" xfId="0" applyFont="1" applyFill="1" applyBorder="1" applyAlignment="1" applyProtection="1">
      <alignment horizontal="center" vertical="center" wrapText="1"/>
      <protection hidden="1"/>
    </xf>
    <xf numFmtId="0" fontId="51" fillId="12" borderId="13" xfId="0" applyFont="1" applyFill="1" applyBorder="1" applyProtection="1">
      <alignment vertical="center"/>
      <protection hidden="1"/>
    </xf>
    <xf numFmtId="0" fontId="24" fillId="8" borderId="11" xfId="0" applyFont="1" applyFill="1" applyBorder="1" applyAlignment="1" applyProtection="1">
      <alignment horizontal="center" vertical="center"/>
      <protection hidden="1"/>
    </xf>
    <xf numFmtId="0" fontId="44" fillId="12" borderId="8" xfId="0" applyFont="1" applyFill="1" applyBorder="1" applyAlignment="1" applyProtection="1">
      <alignment horizontal="center" vertical="center" wrapText="1"/>
      <protection hidden="1"/>
    </xf>
    <xf numFmtId="0" fontId="44" fillId="12" borderId="15" xfId="0" applyFont="1" applyFill="1" applyBorder="1" applyAlignment="1" applyProtection="1">
      <alignment horizontal="center" vertical="center"/>
      <protection hidden="1"/>
    </xf>
    <xf numFmtId="0" fontId="44" fillId="12" borderId="9" xfId="0" applyFont="1" applyFill="1" applyBorder="1" applyAlignment="1" applyProtection="1">
      <alignment horizontal="center" vertical="center" wrapText="1"/>
      <protection hidden="1"/>
    </xf>
    <xf numFmtId="0" fontId="44" fillId="12" borderId="16" xfId="0" applyFont="1" applyFill="1" applyBorder="1" applyAlignment="1" applyProtection="1">
      <alignment horizontal="center" vertical="center"/>
      <protection hidden="1"/>
    </xf>
    <xf numFmtId="0" fontId="50" fillId="12" borderId="10" xfId="0" applyFont="1" applyFill="1" applyBorder="1" applyAlignment="1" applyProtection="1">
      <alignment horizontal="center" vertical="center"/>
      <protection hidden="1"/>
    </xf>
    <xf numFmtId="0" fontId="50" fillId="12" borderId="17" xfId="0" applyFont="1" applyFill="1" applyBorder="1" applyAlignment="1" applyProtection="1">
      <alignment horizontal="center" vertical="center"/>
      <protection hidden="1"/>
    </xf>
    <xf numFmtId="0" fontId="51" fillId="12" borderId="4" xfId="0" applyFont="1" applyFill="1" applyBorder="1" applyAlignment="1" applyProtection="1">
      <alignment horizontal="center" vertical="center"/>
      <protection hidden="1"/>
    </xf>
    <xf numFmtId="0" fontId="51" fillId="12" borderId="11" xfId="0" applyFont="1" applyFill="1" applyBorder="1" applyAlignment="1" applyProtection="1">
      <alignment horizontal="center" vertical="center"/>
      <protection hidden="1"/>
    </xf>
    <xf numFmtId="0" fontId="44" fillId="12" borderId="39" xfId="0" applyFont="1" applyFill="1" applyBorder="1" applyAlignment="1" applyProtection="1">
      <alignment horizontal="center" vertical="center"/>
      <protection hidden="1"/>
    </xf>
    <xf numFmtId="0" fontId="44" fillId="12" borderId="37" xfId="0" applyFont="1" applyFill="1" applyBorder="1" applyAlignment="1" applyProtection="1">
      <alignment horizontal="center" vertical="center"/>
      <protection hidden="1"/>
    </xf>
    <xf numFmtId="0" fontId="50" fillId="12" borderId="38" xfId="0" applyFont="1" applyFill="1" applyBorder="1" applyAlignment="1" applyProtection="1">
      <alignment horizontal="center" vertical="center"/>
      <protection hidden="1"/>
    </xf>
    <xf numFmtId="0" fontId="24" fillId="11" borderId="4" xfId="0" applyFont="1" applyFill="1" applyBorder="1" applyAlignment="1" applyProtection="1">
      <alignment horizontal="center" vertical="center" wrapText="1"/>
      <protection hidden="1"/>
    </xf>
    <xf numFmtId="0" fontId="24" fillId="11" borderId="33" xfId="0" applyFont="1" applyFill="1" applyBorder="1" applyAlignment="1" applyProtection="1">
      <alignment horizontal="center" vertical="center" wrapText="1"/>
      <protection hidden="1"/>
    </xf>
    <xf numFmtId="0" fontId="24" fillId="11" borderId="11" xfId="0" applyFont="1" applyFill="1" applyBorder="1" applyAlignment="1" applyProtection="1">
      <alignment horizontal="center" vertical="center" wrapText="1"/>
      <protection hidden="1"/>
    </xf>
    <xf numFmtId="0" fontId="24" fillId="14" borderId="4" xfId="0" applyFont="1" applyFill="1" applyBorder="1" applyAlignment="1" applyProtection="1">
      <alignment horizontal="center" vertical="center" wrapText="1"/>
      <protection hidden="1"/>
    </xf>
    <xf numFmtId="0" fontId="24" fillId="14" borderId="33" xfId="0" applyFont="1" applyFill="1" applyBorder="1" applyAlignment="1" applyProtection="1">
      <alignment horizontal="center" vertical="center" wrapText="1"/>
      <protection hidden="1"/>
    </xf>
    <xf numFmtId="0" fontId="24" fillId="14" borderId="11" xfId="0" applyFont="1" applyFill="1" applyBorder="1" applyAlignment="1" applyProtection="1">
      <alignment horizontal="center" vertical="center" wrapText="1"/>
      <protection hidden="1"/>
    </xf>
    <xf numFmtId="0" fontId="21" fillId="13" borderId="4" xfId="0" applyFont="1" applyFill="1" applyBorder="1" applyAlignment="1" applyProtection="1">
      <alignment horizontal="center" vertical="center" wrapText="1"/>
      <protection hidden="1"/>
    </xf>
    <xf numFmtId="0" fontId="21" fillId="13" borderId="33" xfId="0" applyFont="1" applyFill="1" applyBorder="1" applyAlignment="1" applyProtection="1">
      <alignment horizontal="center" vertical="center" wrapText="1"/>
      <protection hidden="1"/>
    </xf>
    <xf numFmtId="0" fontId="21" fillId="13" borderId="11" xfId="0" applyFont="1" applyFill="1" applyBorder="1" applyAlignment="1" applyProtection="1">
      <alignment horizontal="center" vertical="center" wrapText="1"/>
      <protection hidden="1"/>
    </xf>
    <xf numFmtId="0" fontId="34" fillId="16" borderId="1" xfId="0" applyFont="1" applyFill="1" applyBorder="1" applyAlignment="1" applyProtection="1">
      <alignment horizontal="center" vertical="center"/>
      <protection hidden="1"/>
    </xf>
    <xf numFmtId="0" fontId="34" fillId="16" borderId="2" xfId="0" applyFont="1" applyFill="1" applyBorder="1" applyAlignment="1" applyProtection="1">
      <alignment horizontal="center" vertical="center"/>
      <protection hidden="1"/>
    </xf>
    <xf numFmtId="0" fontId="34" fillId="16" borderId="3" xfId="0" applyFont="1" applyFill="1" applyBorder="1" applyAlignment="1" applyProtection="1">
      <alignment horizontal="center" vertical="center"/>
      <protection hidden="1"/>
    </xf>
    <xf numFmtId="0" fontId="34" fillId="16" borderId="45" xfId="0" applyFont="1" applyFill="1" applyBorder="1" applyAlignment="1" applyProtection="1">
      <alignment horizontal="center" vertical="center" shrinkToFit="1"/>
      <protection hidden="1"/>
    </xf>
    <xf numFmtId="0" fontId="34" fillId="16" borderId="46" xfId="0" applyFont="1" applyFill="1" applyBorder="1" applyAlignment="1" applyProtection="1">
      <alignment horizontal="center" vertical="center" shrinkToFit="1"/>
      <protection hidden="1"/>
    </xf>
    <xf numFmtId="0" fontId="34" fillId="16" borderId="47" xfId="0" applyFont="1" applyFill="1" applyBorder="1" applyAlignment="1" applyProtection="1">
      <alignment horizontal="center" vertical="center" shrinkToFit="1"/>
      <protection hidden="1"/>
    </xf>
    <xf numFmtId="0" fontId="12" fillId="7" borderId="5" xfId="0" applyFont="1" applyFill="1" applyBorder="1" applyAlignment="1" applyProtection="1">
      <alignment horizontal="center" vertical="center"/>
      <protection hidden="1"/>
    </xf>
    <xf numFmtId="0" fontId="12" fillId="7" borderId="6" xfId="0" applyFont="1" applyFill="1" applyBorder="1" applyAlignment="1" applyProtection="1">
      <alignment horizontal="center" vertical="center"/>
      <protection hidden="1"/>
    </xf>
    <xf numFmtId="0" fontId="12" fillId="31" borderId="57" xfId="0" applyFont="1" applyFill="1" applyBorder="1" applyAlignment="1" applyProtection="1">
      <alignment horizontal="center" vertical="center"/>
      <protection hidden="1"/>
    </xf>
    <xf numFmtId="0" fontId="12" fillId="31" borderId="31" xfId="0" applyFont="1" applyFill="1" applyBorder="1" applyAlignment="1" applyProtection="1">
      <alignment horizontal="center" vertical="center"/>
      <protection hidden="1"/>
    </xf>
    <xf numFmtId="0" fontId="0" fillId="32" borderId="58" xfId="0" applyFill="1" applyBorder="1" applyAlignment="1" applyProtection="1">
      <alignment horizontal="center" vertical="center"/>
      <protection locked="0"/>
    </xf>
    <xf numFmtId="0" fontId="0" fillId="32" borderId="59" xfId="0" applyFill="1" applyBorder="1" applyAlignment="1" applyProtection="1">
      <alignment horizontal="center" vertical="center"/>
      <protection locked="0"/>
    </xf>
    <xf numFmtId="0" fontId="7" fillId="31" borderId="57" xfId="0" applyFont="1" applyFill="1" applyBorder="1" applyAlignment="1" applyProtection="1">
      <alignment horizontal="center" vertical="center"/>
      <protection hidden="1"/>
    </xf>
    <xf numFmtId="0" fontId="7" fillId="31" borderId="60" xfId="0" applyFont="1" applyFill="1" applyBorder="1" applyAlignment="1" applyProtection="1">
      <alignment horizontal="center" vertical="center"/>
      <protection hidden="1"/>
    </xf>
    <xf numFmtId="0" fontId="7" fillId="31" borderId="31" xfId="0" applyFont="1" applyFill="1" applyBorder="1" applyAlignment="1" applyProtection="1">
      <alignment horizontal="center" vertical="center"/>
      <protection hidden="1"/>
    </xf>
    <xf numFmtId="0" fontId="33" fillId="7" borderId="21" xfId="0" applyFont="1" applyFill="1" applyBorder="1" applyAlignment="1" applyProtection="1">
      <alignment horizontal="center" vertical="center"/>
      <protection hidden="1"/>
    </xf>
    <xf numFmtId="0" fontId="33" fillId="7" borderId="22" xfId="0" applyFont="1" applyFill="1" applyBorder="1" applyAlignment="1" applyProtection="1">
      <alignment horizontal="center" vertical="center"/>
      <protection hidden="1"/>
    </xf>
    <xf numFmtId="0" fontId="12" fillId="29" borderId="48" xfId="0" applyFont="1" applyFill="1" applyBorder="1" applyAlignment="1" applyProtection="1">
      <alignment horizontal="center" vertical="center"/>
      <protection hidden="1"/>
    </xf>
    <xf numFmtId="0" fontId="12" fillId="29" borderId="49" xfId="0" applyFont="1" applyFill="1" applyBorder="1" applyAlignment="1" applyProtection="1">
      <alignment horizontal="center" vertical="center"/>
      <protection hidden="1"/>
    </xf>
    <xf numFmtId="0" fontId="12" fillId="29" borderId="50" xfId="0" applyFont="1" applyFill="1" applyBorder="1" applyAlignment="1" applyProtection="1">
      <alignment horizontal="center" vertical="center"/>
      <protection hidden="1"/>
    </xf>
    <xf numFmtId="0" fontId="12" fillId="30" borderId="1" xfId="0" applyFont="1" applyFill="1" applyBorder="1" applyAlignment="1" applyProtection="1">
      <alignment horizontal="center" vertical="center"/>
      <protection hidden="1"/>
    </xf>
    <xf numFmtId="0" fontId="12" fillId="30" borderId="2" xfId="0" applyFont="1" applyFill="1" applyBorder="1" applyAlignment="1" applyProtection="1">
      <alignment horizontal="center" vertical="center"/>
      <protection hidden="1"/>
    </xf>
    <xf numFmtId="0" fontId="12" fillId="30" borderId="3" xfId="0" applyFont="1" applyFill="1" applyBorder="1" applyAlignment="1" applyProtection="1">
      <alignment horizontal="center" vertical="center"/>
      <protection hidden="1"/>
    </xf>
    <xf numFmtId="0" fontId="12" fillId="31" borderId="51" xfId="0" applyFont="1" applyFill="1" applyBorder="1" applyAlignment="1" applyProtection="1">
      <alignment horizontal="center" vertical="center"/>
      <protection hidden="1"/>
    </xf>
    <xf numFmtId="0" fontId="12" fillId="31" borderId="52" xfId="0" applyFont="1" applyFill="1" applyBorder="1" applyAlignment="1" applyProtection="1">
      <alignment horizontal="center" vertical="center"/>
      <protection hidden="1"/>
    </xf>
    <xf numFmtId="0" fontId="0" fillId="32" borderId="53" xfId="0" applyFill="1" applyBorder="1" applyAlignment="1" applyProtection="1">
      <alignment horizontal="center" vertical="center"/>
      <protection locked="0"/>
    </xf>
    <xf numFmtId="0" fontId="0" fillId="32" borderId="54" xfId="0" applyFill="1" applyBorder="1" applyAlignment="1" applyProtection="1">
      <alignment horizontal="center" vertical="center"/>
      <protection locked="0"/>
    </xf>
    <xf numFmtId="0" fontId="7" fillId="33" borderId="55" xfId="0" applyFont="1" applyFill="1" applyBorder="1" applyAlignment="1" applyProtection="1">
      <alignment horizontal="center" vertical="center" shrinkToFit="1"/>
      <protection hidden="1"/>
    </xf>
    <xf numFmtId="0" fontId="7" fillId="33" borderId="56" xfId="0" applyFont="1" applyFill="1" applyBorder="1" applyAlignment="1" applyProtection="1">
      <alignment horizontal="center" vertical="center" shrinkToFit="1"/>
      <protection hidden="1"/>
    </xf>
    <xf numFmtId="0" fontId="7" fillId="33" borderId="30" xfId="0" applyFont="1" applyFill="1" applyBorder="1" applyAlignment="1" applyProtection="1">
      <alignment horizontal="center" vertical="center" shrinkToFit="1"/>
      <protection hidden="1"/>
    </xf>
    <xf numFmtId="0" fontId="12" fillId="31" borderId="61" xfId="0" applyFont="1" applyFill="1" applyBorder="1" applyAlignment="1" applyProtection="1">
      <alignment horizontal="center" vertical="center"/>
      <protection hidden="1"/>
    </xf>
    <xf numFmtId="0" fontId="12" fillId="31" borderId="32" xfId="0" applyFont="1" applyFill="1" applyBorder="1" applyAlignment="1" applyProtection="1">
      <alignment horizontal="center" vertical="center"/>
      <protection hidden="1"/>
    </xf>
    <xf numFmtId="0" fontId="0" fillId="32" borderId="14" xfId="0" applyFill="1" applyBorder="1" applyAlignment="1" applyProtection="1">
      <alignment horizontal="center" vertical="center"/>
      <protection locked="0"/>
    </xf>
    <xf numFmtId="0" fontId="0" fillId="32" borderId="62" xfId="0" applyFill="1" applyBorder="1" applyAlignment="1" applyProtection="1">
      <alignment horizontal="center" vertical="center"/>
      <protection locked="0"/>
    </xf>
    <xf numFmtId="0" fontId="7" fillId="31" borderId="61" xfId="0" applyFont="1" applyFill="1" applyBorder="1" applyAlignment="1" applyProtection="1">
      <alignment horizontal="center" vertical="center"/>
      <protection hidden="1"/>
    </xf>
    <xf numFmtId="0" fontId="7" fillId="31" borderId="63" xfId="0" applyFont="1" applyFill="1" applyBorder="1" applyAlignment="1" applyProtection="1">
      <alignment horizontal="center" vertical="center"/>
      <protection hidden="1"/>
    </xf>
    <xf numFmtId="0" fontId="7" fillId="31" borderId="32" xfId="0" applyFont="1" applyFill="1" applyBorder="1" applyAlignment="1" applyProtection="1">
      <alignment horizontal="center" vertical="center"/>
      <protection hidden="1"/>
    </xf>
    <xf numFmtId="0" fontId="55" fillId="17" borderId="5" xfId="0" applyFont="1" applyFill="1" applyBorder="1" applyAlignment="1" applyProtection="1">
      <alignment horizontal="center" vertical="center" wrapText="1"/>
      <protection hidden="1"/>
    </xf>
    <xf numFmtId="0" fontId="55" fillId="17" borderId="12" xfId="0" applyFont="1" applyFill="1" applyBorder="1" applyAlignment="1" applyProtection="1">
      <alignment horizontal="center" vertical="center" wrapText="1"/>
      <protection hidden="1"/>
    </xf>
    <xf numFmtId="0" fontId="47" fillId="17" borderId="5" xfId="0" applyFont="1" applyFill="1" applyBorder="1" applyAlignment="1" applyProtection="1">
      <alignment horizontal="center" vertical="center" wrapText="1"/>
      <protection hidden="1"/>
    </xf>
    <xf numFmtId="0" fontId="47" fillId="17" borderId="12" xfId="0" applyFont="1" applyFill="1" applyBorder="1" applyAlignment="1" applyProtection="1">
      <alignment horizontal="center" vertical="center" wrapText="1"/>
      <protection hidden="1"/>
    </xf>
    <xf numFmtId="0" fontId="47" fillId="17" borderId="6" xfId="0" applyFont="1" applyFill="1" applyBorder="1" applyAlignment="1" applyProtection="1">
      <alignment horizontal="center" vertical="center" wrapText="1"/>
      <protection hidden="1"/>
    </xf>
    <xf numFmtId="0" fontId="47" fillId="17" borderId="13" xfId="0" applyFont="1" applyFill="1" applyBorder="1" applyAlignment="1" applyProtection="1">
      <alignment horizontal="center" vertical="center" wrapText="1"/>
      <protection hidden="1"/>
    </xf>
    <xf numFmtId="0" fontId="76" fillId="17" borderId="6" xfId="0" applyFont="1" applyFill="1" applyBorder="1" applyAlignment="1" applyProtection="1">
      <alignment horizontal="center" vertical="center" wrapText="1"/>
      <protection hidden="1"/>
    </xf>
    <xf numFmtId="0" fontId="76" fillId="17" borderId="13" xfId="0" applyFont="1" applyFill="1" applyBorder="1" applyAlignment="1" applyProtection="1">
      <alignment horizontal="center" vertical="center" wrapText="1"/>
      <protection hidden="1"/>
    </xf>
    <xf numFmtId="0" fontId="55" fillId="17" borderId="6" xfId="0" applyFont="1" applyFill="1" applyBorder="1" applyAlignment="1" applyProtection="1">
      <alignment horizontal="center" vertical="center" wrapText="1"/>
      <protection hidden="1"/>
    </xf>
    <xf numFmtId="0" fontId="49" fillId="17" borderId="13" xfId="0" applyFont="1" applyFill="1" applyBorder="1" applyProtection="1">
      <alignment vertical="center"/>
      <protection hidden="1"/>
    </xf>
    <xf numFmtId="0" fontId="42" fillId="18" borderId="8" xfId="0" applyFont="1" applyFill="1" applyBorder="1" applyAlignment="1" applyProtection="1">
      <alignment horizontal="center" vertical="center" wrapText="1"/>
      <protection hidden="1"/>
    </xf>
    <xf numFmtId="0" fontId="44" fillId="18" borderId="15" xfId="0" applyFont="1" applyFill="1" applyBorder="1" applyAlignment="1" applyProtection="1">
      <alignment horizontal="center" vertical="center"/>
      <protection hidden="1"/>
    </xf>
    <xf numFmtId="0" fontId="40" fillId="9" borderId="5" xfId="0" applyFont="1" applyFill="1" applyBorder="1" applyAlignment="1" applyProtection="1">
      <alignment horizontal="center" vertical="center" wrapText="1"/>
      <protection hidden="1"/>
    </xf>
    <xf numFmtId="0" fontId="40" fillId="9" borderId="12" xfId="0" applyFont="1" applyFill="1" applyBorder="1" applyAlignment="1" applyProtection="1">
      <alignment horizontal="center" vertical="center" wrapText="1"/>
      <protection hidden="1"/>
    </xf>
    <xf numFmtId="0" fontId="87" fillId="9" borderId="6" xfId="0" applyFont="1" applyFill="1" applyBorder="1" applyAlignment="1" applyProtection="1">
      <alignment horizontal="center" vertical="center" wrapText="1"/>
      <protection hidden="1"/>
    </xf>
    <xf numFmtId="0" fontId="87" fillId="9" borderId="13" xfId="0" applyFont="1" applyFill="1" applyBorder="1" applyAlignment="1" applyProtection="1">
      <alignment horizontal="center" vertical="center" wrapText="1"/>
      <protection hidden="1"/>
    </xf>
    <xf numFmtId="0" fontId="62" fillId="36" borderId="1" xfId="0" applyFont="1" applyFill="1" applyBorder="1" applyAlignment="1" applyProtection="1">
      <alignment horizontal="center" vertical="center"/>
      <protection hidden="1"/>
    </xf>
    <xf numFmtId="0" fontId="62" fillId="36" borderId="2" xfId="0" applyFont="1" applyFill="1" applyBorder="1" applyAlignment="1" applyProtection="1">
      <alignment horizontal="center" vertical="center"/>
      <protection hidden="1"/>
    </xf>
    <xf numFmtId="0" fontId="62" fillId="36" borderId="3" xfId="0" applyFont="1" applyFill="1" applyBorder="1" applyAlignment="1" applyProtection="1">
      <alignment horizontal="center" vertical="center"/>
      <protection hidden="1"/>
    </xf>
    <xf numFmtId="0" fontId="55" fillId="12" borderId="5" xfId="0" applyFont="1" applyFill="1" applyBorder="1" applyAlignment="1" applyProtection="1">
      <alignment horizontal="center" vertical="center" wrapText="1"/>
      <protection hidden="1"/>
    </xf>
    <xf numFmtId="0" fontId="55" fillId="12" borderId="12" xfId="0" applyFont="1" applyFill="1" applyBorder="1" applyAlignment="1" applyProtection="1">
      <alignment horizontal="center" vertical="center" wrapText="1"/>
      <protection hidden="1"/>
    </xf>
    <xf numFmtId="0" fontId="76" fillId="12" borderId="6" xfId="0" applyFont="1" applyFill="1" applyBorder="1" applyAlignment="1" applyProtection="1">
      <alignment horizontal="center" vertical="center" wrapText="1"/>
      <protection hidden="1"/>
    </xf>
    <xf numFmtId="0" fontId="76" fillId="12" borderId="13" xfId="0" applyFont="1" applyFill="1" applyBorder="1" applyAlignment="1" applyProtection="1">
      <alignment horizontal="center" vertical="center" wrapText="1"/>
      <protection hidden="1"/>
    </xf>
    <xf numFmtId="0" fontId="11" fillId="18" borderId="9" xfId="0" applyFont="1" applyFill="1" applyBorder="1" applyAlignment="1" applyProtection="1">
      <alignment horizontal="center" vertical="center" wrapText="1"/>
      <protection hidden="1"/>
    </xf>
    <xf numFmtId="0" fontId="49" fillId="18" borderId="16" xfId="0" applyFont="1" applyFill="1" applyBorder="1" applyAlignment="1" applyProtection="1">
      <alignment horizontal="center" vertical="center"/>
      <protection hidden="1"/>
    </xf>
    <xf numFmtId="0" fontId="2" fillId="18" borderId="10" xfId="0" applyFont="1" applyFill="1" applyBorder="1" applyAlignment="1" applyProtection="1">
      <alignment horizontal="center" vertical="center"/>
      <protection hidden="1"/>
    </xf>
    <xf numFmtId="0" fontId="2" fillId="18" borderId="17" xfId="0" applyFont="1" applyFill="1" applyBorder="1" applyAlignment="1" applyProtection="1">
      <alignment horizontal="center" vertical="center"/>
      <protection hidden="1"/>
    </xf>
    <xf numFmtId="0" fontId="51" fillId="17" borderId="4" xfId="0" applyFont="1" applyFill="1" applyBorder="1" applyAlignment="1" applyProtection="1">
      <alignment horizontal="center" vertical="center"/>
      <protection hidden="1"/>
    </xf>
    <xf numFmtId="0" fontId="51" fillId="17" borderId="11" xfId="0" applyFont="1" applyFill="1" applyBorder="1" applyAlignment="1" applyProtection="1">
      <alignment horizontal="center" vertical="center"/>
      <protection hidden="1"/>
    </xf>
    <xf numFmtId="176" fontId="0" fillId="35" borderId="22" xfId="0" applyNumberFormat="1" applyFill="1" applyBorder="1" applyAlignment="1" applyProtection="1">
      <alignment horizontal="center" vertical="center"/>
      <protection hidden="1"/>
    </xf>
    <xf numFmtId="176" fontId="0" fillId="35" borderId="23" xfId="0" applyNumberFormat="1" applyFill="1" applyBorder="1" applyAlignment="1" applyProtection="1">
      <alignment horizontal="center" vertical="center"/>
      <protection hidden="1"/>
    </xf>
    <xf numFmtId="176" fontId="28" fillId="35" borderId="13" xfId="0" applyNumberFormat="1" applyFont="1" applyFill="1" applyBorder="1" applyAlignment="1" applyProtection="1">
      <alignment horizontal="center" vertical="center" wrapText="1"/>
      <protection hidden="1"/>
    </xf>
    <xf numFmtId="176" fontId="28" fillId="35" borderId="25" xfId="0" applyNumberFormat="1" applyFont="1" applyFill="1" applyBorder="1" applyAlignment="1" applyProtection="1">
      <alignment horizontal="center" vertical="center" wrapText="1"/>
      <protection hidden="1"/>
    </xf>
    <xf numFmtId="176" fontId="0" fillId="35" borderId="6" xfId="0" applyNumberFormat="1" applyFill="1" applyBorder="1" applyAlignment="1" applyProtection="1">
      <alignment horizontal="center" vertical="center"/>
      <protection hidden="1"/>
    </xf>
    <xf numFmtId="176" fontId="0" fillId="35" borderId="19" xfId="0" applyNumberFormat="1" applyFill="1" applyBorder="1" applyAlignment="1" applyProtection="1">
      <alignment horizontal="center" vertical="center"/>
      <protection hidden="1"/>
    </xf>
    <xf numFmtId="0" fontId="80" fillId="2" borderId="0" xfId="0" applyFont="1" applyFill="1" applyAlignment="1" applyProtection="1">
      <alignment horizontal="left" vertical="center"/>
      <protection hidden="1"/>
    </xf>
    <xf numFmtId="0" fontId="80" fillId="2" borderId="0" xfId="0" applyFont="1" applyFill="1" applyAlignment="1" applyProtection="1">
      <alignment horizontal="left" vertical="top"/>
      <protection hidden="1"/>
    </xf>
  </cellXfs>
  <cellStyles count="1">
    <cellStyle name="표준" xfId="0" builtinId="0"/>
  </cellStyles>
  <dxfs count="49">
    <dxf>
      <font>
        <strike/>
      </font>
    </dxf>
    <dxf>
      <fill>
        <gradientFill degree="90">
          <stop position="0">
            <color theme="9" tint="0.40000610370189521"/>
          </stop>
          <stop position="1">
            <color theme="0"/>
          </stop>
        </gradient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0.1499679555650502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font>
        <strike/>
      </font>
    </dxf>
    <dxf>
      <fill>
        <gradientFill degree="90">
          <stop position="0">
            <color theme="9" tint="0.40000610370189521"/>
          </stop>
          <stop position="1">
            <color theme="0"/>
          </stop>
        </gradientFill>
      </fill>
    </dxf>
    <dxf>
      <font>
        <b/>
        <i val="0"/>
        <color rgb="FF00B050"/>
      </font>
    </dxf>
    <dxf>
      <font>
        <b/>
        <i val="0"/>
        <color rgb="FFFF0000"/>
      </font>
    </dxf>
    <dxf>
      <fill>
        <patternFill>
          <bgColor theme="0" tint="-0.1499679555650502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strike/>
      </font>
    </dxf>
    <dxf>
      <fill>
        <gradientFill degree="270">
          <stop position="0">
            <color theme="0"/>
          </stop>
          <stop position="1">
            <color theme="9" tint="0.40000610370189521"/>
          </stop>
        </gradient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0.1499679555650502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font>
        <strike/>
      </font>
    </dxf>
    <dxf>
      <font>
        <strike/>
      </font>
    </dxf>
    <dxf>
      <fill>
        <gradientFill degree="90">
          <stop position="0">
            <color theme="9" tint="0.40000610370189521"/>
          </stop>
          <stop position="1">
            <color theme="0"/>
          </stop>
        </gradient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0.1499679555650502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font>
        <strike/>
      </font>
    </dxf>
    <dxf>
      <fill>
        <gradientFill degree="90">
          <stop position="0">
            <color theme="9" tint="0.40000610370189521"/>
          </stop>
          <stop position="1">
            <color theme="0"/>
          </stop>
        </gradientFill>
      </fill>
    </dxf>
    <dxf>
      <font>
        <b/>
        <i val="0"/>
        <color rgb="FF00B050"/>
      </font>
    </dxf>
    <dxf>
      <font>
        <b/>
        <i val="0"/>
        <color rgb="FFFF0000"/>
      </font>
    </dxf>
    <dxf>
      <fill>
        <patternFill>
          <bgColor theme="0" tint="-0.1499679555650502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strike/>
      </font>
    </dxf>
    <dxf>
      <fill>
        <gradientFill degree="270">
          <stop position="0">
            <color theme="0"/>
          </stop>
          <stop position="1">
            <color theme="9" tint="0.40000610370189521"/>
          </stop>
        </gradient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0.14996795556505021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 tint="-0.14996795556505021"/>
        </patternFill>
      </fill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FF6699"/>
      <color rgb="FFEFF35B"/>
      <color rgb="FFEC008C"/>
      <color rgb="FFE26B0A"/>
      <color rgb="FFFF9999"/>
      <color rgb="FFFFFFFF"/>
      <color rgb="FFFFFFC9"/>
      <color rgb="FFFFFF99"/>
      <color rgb="FFFFFF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50641;&#49472;&#51089;&#50629;/skt_&#49324;&#50857;&#47049;_&#50836;&#44552;&#52628;&#52380;_v3.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te요금제"/>
      <sheetName val="lte+무료음성2"/>
      <sheetName val="3g 요금제"/>
      <sheetName val="할인반환금계산"/>
      <sheetName val="유지비계산"/>
      <sheetName val="월별요금합"/>
      <sheetName val="참고"/>
    </sheetNames>
    <sheetDataSet>
      <sheetData sheetId="0"/>
      <sheetData sheetId="1"/>
      <sheetData sheetId="2"/>
      <sheetData sheetId="3"/>
      <sheetData sheetId="4"/>
      <sheetData sheetId="5">
        <row r="27">
          <cell r="C27" t="str">
            <v>CLUB SK카드할인15</v>
          </cell>
          <cell r="F27" t="str">
            <v>약정할인(24개월)</v>
          </cell>
        </row>
        <row r="28">
          <cell r="C28" t="str">
            <v>CLUB SK카드할인13</v>
          </cell>
          <cell r="F28" t="str">
            <v>온가족 10%</v>
          </cell>
        </row>
        <row r="29">
          <cell r="C29" t="str">
            <v>CLUB SK카드할인10</v>
          </cell>
          <cell r="F29" t="str">
            <v>온가족 20%</v>
          </cell>
        </row>
        <row r="30">
          <cell r="C30" t="str">
            <v>CLUB SK카드할인7</v>
          </cell>
          <cell r="F30" t="str">
            <v>온가족 30%</v>
          </cell>
        </row>
        <row r="31">
          <cell r="C31" t="str">
            <v>CLUB SK카드할인6</v>
          </cell>
          <cell r="F31" t="str">
            <v>온가족 50%</v>
          </cell>
        </row>
        <row r="32">
          <cell r="C32" t="str">
            <v>CLUB SK카드할인3</v>
          </cell>
        </row>
        <row r="33">
          <cell r="C33" t="str">
            <v>기타할인1(직접입력)</v>
          </cell>
        </row>
        <row r="34">
          <cell r="C34" t="str">
            <v>기타할인2(직접입력)</v>
          </cell>
        </row>
        <row r="35">
          <cell r="C35" t="str">
            <v>기타할인3(직접입력)</v>
          </cell>
        </row>
        <row r="36">
          <cell r="C36" t="str">
            <v>기타할인4(직접입력)</v>
          </cell>
        </row>
        <row r="37">
          <cell r="C37" t="str">
            <v>기타할인5(직접입력)</v>
          </cell>
        </row>
      </sheetData>
      <sheetData sheetId="6">
        <row r="6">
          <cell r="B6" t="str">
            <v>lg lte 72</v>
          </cell>
        </row>
        <row r="7">
          <cell r="B7" t="str">
            <v>PDA data 요금제</v>
          </cell>
        </row>
        <row r="8">
          <cell r="B8" t="str">
            <v>표준요금제</v>
          </cell>
        </row>
        <row r="9">
          <cell r="B9" t="str">
            <v>------------------</v>
          </cell>
        </row>
        <row r="10">
          <cell r="B10" t="str">
            <v>T끼리 35</v>
          </cell>
        </row>
        <row r="11">
          <cell r="B11" t="str">
            <v>T끼리 45</v>
          </cell>
        </row>
        <row r="12">
          <cell r="B12" t="str">
            <v>T끼리 55</v>
          </cell>
        </row>
        <row r="13">
          <cell r="B13" t="str">
            <v>T끼리 65</v>
          </cell>
        </row>
        <row r="14">
          <cell r="B14" t="str">
            <v>전국민 무한 69</v>
          </cell>
        </row>
        <row r="15">
          <cell r="B15" t="str">
            <v>전국민 무한 75</v>
          </cell>
        </row>
        <row r="16">
          <cell r="B16" t="str">
            <v>전국민 무한 85</v>
          </cell>
        </row>
        <row r="17">
          <cell r="B17" t="str">
            <v>전국민 무한 100</v>
          </cell>
        </row>
        <row r="18">
          <cell r="B18" t="str">
            <v>LTE 34</v>
          </cell>
        </row>
        <row r="19">
          <cell r="B19" t="str">
            <v>LTE 42</v>
          </cell>
        </row>
        <row r="20">
          <cell r="B20" t="str">
            <v>LTE 52</v>
          </cell>
        </row>
        <row r="21">
          <cell r="B21" t="str">
            <v>LTE 62</v>
          </cell>
        </row>
        <row r="22">
          <cell r="B22" t="str">
            <v>LTE 72</v>
          </cell>
        </row>
        <row r="23">
          <cell r="B23" t="str">
            <v>LTE 85</v>
          </cell>
        </row>
        <row r="24">
          <cell r="B24" t="str">
            <v>LTE 100</v>
          </cell>
        </row>
        <row r="25">
          <cell r="B25" t="str">
            <v>T끼리 맞춤형 망외100분+250M</v>
          </cell>
        </row>
        <row r="26">
          <cell r="B26" t="str">
            <v>T끼리 맞춤형 망외100분+700M</v>
          </cell>
        </row>
        <row r="27">
          <cell r="B27" t="str">
            <v>T끼리 맞춤형 망외100분+1.5G</v>
          </cell>
        </row>
        <row r="28">
          <cell r="B28" t="str">
            <v>T끼리 맞춤형 망외100분+3G</v>
          </cell>
        </row>
        <row r="29">
          <cell r="B29" t="str">
            <v>T끼리 맞춤형 망외100분+6G</v>
          </cell>
        </row>
        <row r="30">
          <cell r="B30" t="str">
            <v>T끼리 맞춤형 망외150분+250M</v>
          </cell>
        </row>
        <row r="31">
          <cell r="B31" t="str">
            <v>T끼리 맞춤형 망외150분+700M</v>
          </cell>
        </row>
        <row r="32">
          <cell r="B32" t="str">
            <v>T끼리 맞춤형 망외150분+1.5G</v>
          </cell>
        </row>
        <row r="33">
          <cell r="B33" t="str">
            <v>T끼리 맞춤형 망외150분+3G</v>
          </cell>
        </row>
        <row r="34">
          <cell r="B34" t="str">
            <v>T끼리 맞춤형 망외150분+6G</v>
          </cell>
        </row>
        <row r="35">
          <cell r="B35" t="str">
            <v>T끼리 맞춤형 망외200분+250M</v>
          </cell>
        </row>
        <row r="36">
          <cell r="B36" t="str">
            <v>T끼리 맞춤형 망외200분+700M</v>
          </cell>
        </row>
        <row r="37">
          <cell r="B37" t="str">
            <v>T끼리 맞춤형 망외200분+1.5G</v>
          </cell>
        </row>
        <row r="38">
          <cell r="B38" t="str">
            <v>T끼리 맞춤형 망외200분+3G</v>
          </cell>
        </row>
        <row r="39">
          <cell r="B39" t="str">
            <v>T끼리 맞춤형 망외200분+6G</v>
          </cell>
        </row>
        <row r="40">
          <cell r="B40" t="str">
            <v>T끼리 맞춤형무제한(무선)+250M</v>
          </cell>
        </row>
        <row r="41">
          <cell r="B41" t="str">
            <v>T끼리 맞춤형무제한(무선)+700M</v>
          </cell>
        </row>
        <row r="42">
          <cell r="B42" t="str">
            <v>T끼리 맞춤형무제한(무선)+1.5G</v>
          </cell>
        </row>
        <row r="43">
          <cell r="B43" t="str">
            <v>T끼리 맞춤형무제한(무선)+3G</v>
          </cell>
        </row>
        <row r="44">
          <cell r="B44" t="str">
            <v>T끼리 맞춤형무제한(무선)+6G</v>
          </cell>
        </row>
        <row r="45">
          <cell r="B45" t="str">
            <v>T끼리 맞춤형무제한(유무선)+250M</v>
          </cell>
        </row>
        <row r="46">
          <cell r="B46" t="str">
            <v>T끼리 맞춤형무제한(유무선)+700M</v>
          </cell>
        </row>
        <row r="47">
          <cell r="B47" t="str">
            <v>T끼리 맞춤형무제한(유무선)+1.5G</v>
          </cell>
        </row>
        <row r="48">
          <cell r="B48" t="str">
            <v>T끼리 맞춤형무제한(유무선)+3G</v>
          </cell>
        </row>
        <row r="49">
          <cell r="B49" t="str">
            <v>T끼리 맞춤형무제한(유무선)+6G</v>
          </cell>
        </row>
        <row r="50">
          <cell r="B50" t="str">
            <v>LTE 맞춤형 통화100분+250M</v>
          </cell>
        </row>
        <row r="51">
          <cell r="B51" t="str">
            <v>LTE 맞춤형 통화100분+700M</v>
          </cell>
        </row>
        <row r="52">
          <cell r="B52" t="str">
            <v>LTE 맞춤형 통화100분+1.5G</v>
          </cell>
        </row>
        <row r="53">
          <cell r="B53" t="str">
            <v>LTE 맞춤형 통화100분+3G</v>
          </cell>
        </row>
        <row r="54">
          <cell r="B54" t="str">
            <v>LTE 맞춤형 통화100분+6G</v>
          </cell>
        </row>
        <row r="55">
          <cell r="B55" t="str">
            <v>LTE 맞춤형 통화200분+250M</v>
          </cell>
        </row>
        <row r="56">
          <cell r="B56" t="str">
            <v>LTE 맞춤형 통화200분+700M</v>
          </cell>
        </row>
        <row r="57">
          <cell r="B57" t="str">
            <v>LTE 맞춤형 통화200분+1.5G</v>
          </cell>
        </row>
        <row r="58">
          <cell r="B58" t="str">
            <v>LTE 맞춤형 통화200분+3G</v>
          </cell>
        </row>
        <row r="59">
          <cell r="B59" t="str">
            <v>LTE 맞춤형 통화200분+6G</v>
          </cell>
        </row>
        <row r="60">
          <cell r="B60" t="str">
            <v>LTE 맞춤형 통화300분+250M</v>
          </cell>
        </row>
        <row r="61">
          <cell r="B61" t="str">
            <v>LTE 맞춤형 통화300분+700M</v>
          </cell>
        </row>
        <row r="62">
          <cell r="B62" t="str">
            <v>LTE 맞춤형 통화300분+1.5G</v>
          </cell>
        </row>
        <row r="63">
          <cell r="B63" t="str">
            <v>LTE 맞춤형 통화300분+3G</v>
          </cell>
        </row>
        <row r="64">
          <cell r="B64" t="str">
            <v>LTE 맞춤형 통화300분+6G</v>
          </cell>
        </row>
        <row r="65">
          <cell r="B65" t="str">
            <v>LTE 맞춤형 통화400분+250M</v>
          </cell>
        </row>
        <row r="66">
          <cell r="B66" t="str">
            <v>LTE 맞춤형 통화400분+700M</v>
          </cell>
        </row>
        <row r="67">
          <cell r="B67" t="str">
            <v>LTE 맞춤형 통화400분+1.5G</v>
          </cell>
        </row>
        <row r="68">
          <cell r="B68" t="str">
            <v>LTE 맞춤형 통화400분+3G</v>
          </cell>
        </row>
        <row r="69">
          <cell r="B69" t="str">
            <v>LTE 맞춤형 통화400분+6G</v>
          </cell>
        </row>
        <row r="70">
          <cell r="B70" t="str">
            <v>무료음성 19</v>
          </cell>
        </row>
        <row r="71">
          <cell r="B71" t="str">
            <v>무료음성 28</v>
          </cell>
        </row>
        <row r="72">
          <cell r="B72" t="str">
            <v>무료음성 34</v>
          </cell>
        </row>
        <row r="73">
          <cell r="B73" t="str">
            <v>무료음성 44</v>
          </cell>
        </row>
        <row r="74">
          <cell r="B74" t="str">
            <v>무료음성 54</v>
          </cell>
        </row>
        <row r="75">
          <cell r="B75" t="str">
            <v>무료음성 64</v>
          </cell>
        </row>
        <row r="76">
          <cell r="B76" t="str">
            <v>무료음성 79</v>
          </cell>
        </row>
        <row r="77">
          <cell r="B77" t="str">
            <v>무료음성 94</v>
          </cell>
        </row>
        <row r="78">
          <cell r="B78" t="str">
            <v>넘버원(무제한형)</v>
          </cell>
        </row>
        <row r="79">
          <cell r="B79" t="str">
            <v>넘버원(더블할인형)</v>
          </cell>
        </row>
        <row r="80">
          <cell r="B80" t="str">
            <v>올인원 34 (3g)</v>
          </cell>
        </row>
        <row r="81">
          <cell r="B81" t="str">
            <v>올인원 44 (3g)</v>
          </cell>
        </row>
        <row r="82">
          <cell r="B82" t="str">
            <v>올인원 54 (3g)</v>
          </cell>
        </row>
        <row r="83">
          <cell r="B83" t="str">
            <v>올인원 64 (3g)</v>
          </cell>
        </row>
        <row r="84">
          <cell r="B84" t="str">
            <v>올인원 79 (3g)</v>
          </cell>
        </row>
        <row r="85">
          <cell r="B85" t="str">
            <v>올인원 94 (3g)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E26B0A"/>
  </sheetPr>
  <dimension ref="A1:X99"/>
  <sheetViews>
    <sheetView workbookViewId="0">
      <selection activeCell="E27" sqref="E27"/>
    </sheetView>
  </sheetViews>
  <sheetFormatPr defaultRowHeight="16.5"/>
  <cols>
    <col min="1" max="1" width="1.75" style="41" customWidth="1"/>
    <col min="2" max="2" width="5" style="41" customWidth="1"/>
    <col min="3" max="3" width="5.25" style="190" customWidth="1"/>
    <col min="4" max="4" width="21.375" style="190" customWidth="1"/>
    <col min="5" max="5" width="8.25" style="190" customWidth="1"/>
    <col min="6" max="6" width="11.5" style="190" customWidth="1"/>
    <col min="7" max="7" width="7.625" style="190" customWidth="1"/>
    <col min="8" max="8" width="9" style="190"/>
    <col min="9" max="9" width="9.75" style="190" customWidth="1"/>
    <col min="10" max="10" width="9" style="190"/>
    <col min="11" max="11" width="11.125" style="190" customWidth="1"/>
    <col min="12" max="12" width="11.375" style="190" customWidth="1"/>
    <col min="13" max="13" width="12.75" style="190" customWidth="1"/>
    <col min="14" max="14" width="15" style="190" customWidth="1"/>
    <col min="15" max="15" width="11.75" style="190" customWidth="1"/>
    <col min="16" max="16" width="5.5" style="425" customWidth="1"/>
    <col min="17" max="17" width="3.75" style="425" customWidth="1"/>
    <col min="18" max="18" width="7.875" style="425" customWidth="1"/>
    <col min="19" max="19" width="4.125" style="425" customWidth="1"/>
    <col min="20" max="20" width="6.75" style="425" customWidth="1"/>
    <col min="21" max="21" width="5.5" style="425" customWidth="1"/>
    <col min="22" max="22" width="3" style="274" customWidth="1"/>
    <col min="23" max="23" width="9" style="420"/>
    <col min="24" max="16384" width="9" style="190"/>
  </cols>
  <sheetData>
    <row r="1" spans="1:24" s="188" customFormat="1" ht="6" customHeight="1">
      <c r="A1" s="41"/>
      <c r="B1" s="41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419"/>
      <c r="Q1" s="419"/>
      <c r="R1" s="419"/>
      <c r="S1" s="419"/>
      <c r="T1" s="419"/>
      <c r="U1" s="419"/>
      <c r="V1" s="420"/>
      <c r="W1" s="420"/>
    </row>
    <row r="2" spans="1:24" ht="2.25" customHeight="1" thickBot="1"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419"/>
      <c r="Q2" s="419"/>
      <c r="R2" s="419"/>
      <c r="S2" s="419"/>
      <c r="T2" s="419"/>
      <c r="U2" s="419"/>
      <c r="V2" s="420"/>
      <c r="X2" s="256"/>
    </row>
    <row r="3" spans="1:24" ht="30.75" customHeight="1" thickBot="1">
      <c r="B3" s="616" t="s">
        <v>286</v>
      </c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  <c r="N3" s="617"/>
      <c r="O3" s="618"/>
      <c r="P3" s="419"/>
      <c r="Q3" s="419"/>
      <c r="R3" s="419"/>
      <c r="S3" s="419"/>
      <c r="T3" s="419"/>
      <c r="U3" s="419"/>
      <c r="V3" s="420"/>
      <c r="X3" s="256"/>
    </row>
    <row r="4" spans="1:24" ht="17.100000000000001" customHeight="1">
      <c r="C4" s="191"/>
      <c r="D4" s="192" t="s">
        <v>123</v>
      </c>
      <c r="E4" s="187"/>
      <c r="F4" s="187"/>
      <c r="G4" s="187"/>
      <c r="H4" s="187"/>
      <c r="I4" s="193"/>
      <c r="J4" s="187"/>
      <c r="K4" s="193"/>
      <c r="L4" s="193"/>
      <c r="M4" s="68"/>
      <c r="N4" s="69"/>
      <c r="O4" s="69"/>
      <c r="P4" s="421" t="s">
        <v>211</v>
      </c>
      <c r="Q4" s="422" t="s">
        <v>212</v>
      </c>
      <c r="R4" s="419"/>
      <c r="S4" s="419"/>
      <c r="T4" s="419"/>
      <c r="U4" s="419"/>
      <c r="V4" s="420"/>
      <c r="X4" s="256"/>
    </row>
    <row r="5" spans="1:24" ht="17.100000000000001" customHeight="1">
      <c r="C5" s="191"/>
      <c r="D5" s="194" t="s">
        <v>124</v>
      </c>
      <c r="E5" s="187"/>
      <c r="F5" s="187"/>
      <c r="G5" s="187"/>
      <c r="H5" s="187"/>
      <c r="I5" s="193"/>
      <c r="J5" s="187"/>
      <c r="K5" s="195"/>
      <c r="L5" s="193"/>
      <c r="M5" s="70"/>
      <c r="N5" s="69"/>
      <c r="O5" s="69"/>
      <c r="P5" s="423">
        <v>0</v>
      </c>
      <c r="Q5" s="422">
        <v>0</v>
      </c>
      <c r="R5" s="419"/>
      <c r="S5" s="419"/>
      <c r="T5" s="419"/>
      <c r="U5" s="419"/>
      <c r="V5" s="420"/>
      <c r="X5" s="256"/>
    </row>
    <row r="6" spans="1:24" ht="24" customHeight="1" thickBot="1">
      <c r="C6" s="191"/>
      <c r="D6" s="196" t="s">
        <v>125</v>
      </c>
      <c r="E6" s="193"/>
      <c r="F6" s="193"/>
      <c r="G6" s="193"/>
      <c r="H6" s="187"/>
      <c r="I6" s="193"/>
      <c r="J6" s="188"/>
      <c r="K6" s="193"/>
      <c r="L6" s="193"/>
      <c r="M6" s="68"/>
      <c r="N6" s="69"/>
      <c r="O6" s="69"/>
      <c r="P6" s="423">
        <v>100</v>
      </c>
      <c r="Q6" s="424">
        <v>1500</v>
      </c>
      <c r="R6" s="419"/>
      <c r="S6" s="419"/>
      <c r="T6" s="419"/>
      <c r="U6" s="419"/>
      <c r="V6" s="420"/>
      <c r="X6" s="256"/>
    </row>
    <row r="7" spans="1:24" ht="24" customHeight="1" thickBot="1">
      <c r="C7" s="191"/>
      <c r="D7" s="619" t="s">
        <v>126</v>
      </c>
      <c r="E7" s="620"/>
      <c r="F7" s="620"/>
      <c r="G7" s="621"/>
      <c r="H7" s="187"/>
      <c r="I7" s="193"/>
      <c r="J7" s="187"/>
      <c r="K7" s="622" t="s">
        <v>127</v>
      </c>
      <c r="L7" s="623"/>
      <c r="M7" s="623"/>
      <c r="N7" s="624"/>
      <c r="O7" s="69"/>
      <c r="P7" s="423">
        <v>200</v>
      </c>
      <c r="Q7" s="424">
        <v>3000</v>
      </c>
      <c r="R7" s="419"/>
      <c r="S7" s="419"/>
      <c r="T7" s="419"/>
      <c r="U7" s="419"/>
      <c r="V7" s="420"/>
      <c r="X7" s="256"/>
    </row>
    <row r="8" spans="1:24" ht="18" customHeight="1">
      <c r="C8" s="187"/>
      <c r="D8" s="625" t="s">
        <v>128</v>
      </c>
      <c r="E8" s="626"/>
      <c r="F8" s="627">
        <v>301</v>
      </c>
      <c r="G8" s="628"/>
      <c r="H8" s="90" t="str">
        <f>IF(OR(F8="",F9=""),"","망내 "&amp;ROUND(F8*F9/100,0)&amp;"분")</f>
        <v>망내 154분</v>
      </c>
      <c r="I8" s="187"/>
      <c r="J8" s="187"/>
      <c r="K8" s="629" t="s">
        <v>129</v>
      </c>
      <c r="L8" s="630"/>
      <c r="M8" s="630"/>
      <c r="N8" s="49" t="s">
        <v>251</v>
      </c>
      <c r="O8" s="71"/>
      <c r="P8" s="423">
        <v>500</v>
      </c>
      <c r="Q8" s="424">
        <v>6000</v>
      </c>
      <c r="R8" s="419"/>
      <c r="S8" s="419"/>
      <c r="T8" s="419"/>
      <c r="U8" s="419"/>
      <c r="V8" s="420"/>
      <c r="X8" s="256"/>
    </row>
    <row r="9" spans="1:24" ht="18" customHeight="1">
      <c r="C9" s="187"/>
      <c r="D9" s="631" t="s">
        <v>130</v>
      </c>
      <c r="E9" s="632"/>
      <c r="F9" s="633">
        <v>51</v>
      </c>
      <c r="G9" s="634"/>
      <c r="H9" s="90" t="str">
        <f>IF(OR(F8="",F9=""),"","망외 "&amp;ROUND(F8*(1-F9/100),0)&amp;"분")</f>
        <v>망외 147분</v>
      </c>
      <c r="I9" s="187"/>
      <c r="J9" s="187"/>
      <c r="K9" s="635" t="s">
        <v>131</v>
      </c>
      <c r="L9" s="636"/>
      <c r="M9" s="636"/>
      <c r="N9" s="67" t="str">
        <f>IF(N8="해당사항없음","O","X")</f>
        <v>O</v>
      </c>
      <c r="O9" s="71"/>
      <c r="P9" s="423">
        <v>700</v>
      </c>
      <c r="Q9" s="424">
        <v>8000</v>
      </c>
      <c r="R9" s="419"/>
      <c r="S9" s="419"/>
      <c r="T9" s="419"/>
      <c r="U9" s="419"/>
      <c r="V9" s="420"/>
      <c r="X9" s="256"/>
    </row>
    <row r="10" spans="1:24" ht="18" customHeight="1" thickBot="1">
      <c r="C10" s="187"/>
      <c r="D10" s="637" t="s">
        <v>132</v>
      </c>
      <c r="E10" s="638"/>
      <c r="F10" s="633">
        <v>201</v>
      </c>
      <c r="G10" s="634"/>
      <c r="H10" s="187"/>
      <c r="I10" s="187"/>
      <c r="J10" s="187"/>
      <c r="K10" s="639" t="s">
        <v>133</v>
      </c>
      <c r="L10" s="640"/>
      <c r="M10" s="640"/>
      <c r="N10" s="50" t="s">
        <v>243</v>
      </c>
      <c r="O10" s="73"/>
      <c r="P10" s="423">
        <v>1000</v>
      </c>
      <c r="Q10" s="260">
        <v>10000</v>
      </c>
      <c r="R10" s="419"/>
      <c r="S10" s="419"/>
      <c r="T10" s="419"/>
      <c r="U10" s="419"/>
      <c r="V10" s="420"/>
      <c r="X10" s="256"/>
    </row>
    <row r="11" spans="1:24" ht="18" customHeight="1">
      <c r="C11" s="187"/>
      <c r="D11" s="637" t="s">
        <v>134</v>
      </c>
      <c r="E11" s="638"/>
      <c r="F11" s="633">
        <v>3000</v>
      </c>
      <c r="G11" s="634"/>
      <c r="H11" s="187"/>
      <c r="I11" s="187"/>
      <c r="J11" s="187"/>
      <c r="K11" s="643" t="str">
        <f>"데이터이용량 "&amp;F11&amp;"MB 이상만 나열하기"</f>
        <v>데이터이용량 3000MB 이상만 나열하기</v>
      </c>
      <c r="L11" s="644"/>
      <c r="M11" s="644"/>
      <c r="N11" s="51" t="s">
        <v>16</v>
      </c>
      <c r="O11" s="72"/>
      <c r="S11" s="419"/>
      <c r="T11" s="419"/>
      <c r="U11" s="419"/>
      <c r="V11" s="420"/>
      <c r="X11" s="256"/>
    </row>
    <row r="12" spans="1:24" ht="18" customHeight="1" thickBot="1">
      <c r="C12" s="187"/>
      <c r="D12" s="645" t="s">
        <v>135</v>
      </c>
      <c r="E12" s="646"/>
      <c r="F12" s="647">
        <v>0</v>
      </c>
      <c r="G12" s="648"/>
      <c r="H12" s="257">
        <f>VLOOKUP($F$12,$P$5:$Q$10,2)</f>
        <v>0</v>
      </c>
      <c r="I12" s="187"/>
      <c r="J12" s="187"/>
      <c r="K12" s="649" t="s">
        <v>136</v>
      </c>
      <c r="L12" s="650"/>
      <c r="M12" s="650"/>
      <c r="N12" s="50" t="s">
        <v>16</v>
      </c>
      <c r="O12" s="68"/>
      <c r="P12" s="425">
        <f>IF(N12="O",1,0)</f>
        <v>0</v>
      </c>
      <c r="S12" s="419"/>
      <c r="T12" s="419"/>
      <c r="U12" s="419"/>
      <c r="V12" s="420"/>
      <c r="X12" s="256"/>
    </row>
    <row r="13" spans="1:24" ht="17.25" customHeight="1" thickBot="1">
      <c r="C13" s="187"/>
      <c r="D13" s="40" t="s">
        <v>137</v>
      </c>
      <c r="E13" s="187"/>
      <c r="F13" s="187"/>
      <c r="G13" s="197"/>
      <c r="H13" s="188"/>
      <c r="I13" s="187"/>
      <c r="J13" s="187"/>
      <c r="K13" s="187"/>
      <c r="L13" s="187"/>
      <c r="M13" s="68"/>
      <c r="N13" s="68"/>
      <c r="O13" s="68"/>
      <c r="P13" s="425">
        <f>IF(N11="O",2,0)</f>
        <v>0</v>
      </c>
      <c r="Q13" s="425">
        <f>P12+P13</f>
        <v>0</v>
      </c>
      <c r="R13" s="419"/>
      <c r="S13" s="419"/>
      <c r="T13" s="419"/>
      <c r="U13" s="419"/>
      <c r="V13" s="420"/>
      <c r="X13" s="256"/>
    </row>
    <row r="14" spans="1:24">
      <c r="C14" s="651" t="s">
        <v>138</v>
      </c>
      <c r="D14" s="653" t="s">
        <v>3</v>
      </c>
      <c r="E14" s="641" t="s">
        <v>4</v>
      </c>
      <c r="F14" s="641" t="s">
        <v>139</v>
      </c>
      <c r="G14" s="641" t="s">
        <v>140</v>
      </c>
      <c r="H14" s="641" t="s">
        <v>141</v>
      </c>
      <c r="I14" s="467" t="s">
        <v>7</v>
      </c>
      <c r="J14" s="198" t="s">
        <v>142</v>
      </c>
      <c r="K14" s="662" t="s">
        <v>143</v>
      </c>
      <c r="L14" s="664" t="s">
        <v>144</v>
      </c>
      <c r="M14" s="516" t="str">
        <f>M22</f>
        <v>실제요금</v>
      </c>
      <c r="N14" s="666" t="s">
        <v>145</v>
      </c>
      <c r="O14" s="668" t="s">
        <v>146</v>
      </c>
      <c r="P14" s="263"/>
      <c r="Q14" s="263"/>
      <c r="R14" s="263"/>
      <c r="S14" s="263"/>
      <c r="T14" s="263"/>
      <c r="U14" s="263"/>
      <c r="V14" s="420"/>
      <c r="X14" s="256"/>
    </row>
    <row r="15" spans="1:24" ht="17.25" thickBot="1">
      <c r="C15" s="652"/>
      <c r="D15" s="654"/>
      <c r="E15" s="642"/>
      <c r="F15" s="642"/>
      <c r="G15" s="655"/>
      <c r="H15" s="642"/>
      <c r="I15" s="199" t="str">
        <f>IF(N8&lt;60,"온가족("&amp;N8&amp;"%)","(24개월)")</f>
        <v>(24개월)</v>
      </c>
      <c r="J15" s="200" t="s">
        <v>147</v>
      </c>
      <c r="K15" s="663"/>
      <c r="L15" s="665"/>
      <c r="M15" s="515" t="str">
        <f>M23</f>
        <v>(부가세,복지포함)</v>
      </c>
      <c r="N15" s="667"/>
      <c r="O15" s="669"/>
      <c r="P15" s="263"/>
      <c r="Q15" s="263"/>
      <c r="R15" s="263"/>
      <c r="S15" s="263"/>
      <c r="T15" s="263"/>
      <c r="U15" s="263"/>
      <c r="V15" s="420"/>
      <c r="X15" s="256"/>
    </row>
    <row r="16" spans="1:24">
      <c r="A16" s="43"/>
      <c r="B16" s="43"/>
      <c r="C16" s="44">
        <f>IF(COUNT($U$24:$U$83)&gt;=1,VLOOKUP(SMALL($U$24:$U$83,1),$U$24:$U$83,1,FALSE),"")</f>
        <v>1</v>
      </c>
      <c r="D16" s="24" t="str">
        <f>IF($C$16="","",VLOOKUP($C$16,$B$24:$N$83,COLUMN()-1,FALSE))</f>
        <v>T끼리 맞춤형 망외 100분</v>
      </c>
      <c r="E16" s="9">
        <f t="shared" ref="E16:N16" si="0">IF($C$16="","",VLOOKUP($C$16,$B$24:$N$83,COLUMN()-1,FALSE))</f>
        <v>32500</v>
      </c>
      <c r="F16" s="201">
        <f t="shared" si="0"/>
        <v>100</v>
      </c>
      <c r="G16" s="34" t="str">
        <f t="shared" si="0"/>
        <v>무제한</v>
      </c>
      <c r="H16" s="9">
        <f t="shared" si="0"/>
        <v>250</v>
      </c>
      <c r="I16" s="9">
        <f t="shared" si="0"/>
        <v>7200</v>
      </c>
      <c r="J16" s="17">
        <f t="shared" si="0"/>
        <v>18089.500000000004</v>
      </c>
      <c r="K16" s="74">
        <f t="shared" si="0"/>
        <v>3333.7980000000007</v>
      </c>
      <c r="L16" s="75">
        <f t="shared" si="0"/>
        <v>0</v>
      </c>
      <c r="M16" s="10">
        <f t="shared" si="0"/>
        <v>21756.677800000005</v>
      </c>
      <c r="N16" s="11" t="str">
        <f t="shared" si="0"/>
        <v>데이터(2.75GB) 부족</v>
      </c>
      <c r="O16" s="202"/>
      <c r="P16" s="263"/>
      <c r="Q16" s="263"/>
      <c r="R16" s="263"/>
      <c r="S16" s="263"/>
      <c r="T16" s="263"/>
      <c r="U16" s="263"/>
      <c r="V16" s="420"/>
      <c r="X16" s="256"/>
    </row>
    <row r="17" spans="1:24">
      <c r="A17" s="43"/>
      <c r="B17" s="43"/>
      <c r="C17" s="45">
        <f>IF(COUNT($U$24:$U$83)&gt;=2,VLOOKUP(SMALL($U$24:$U$83,2),$U$24:$U$83,1,FALSE),"")</f>
        <v>2</v>
      </c>
      <c r="D17" s="60" t="str">
        <f>IF($C$17="","",VLOOKUP($C$17,$B$24:$N$83,COLUMN()-1,FALSE))</f>
        <v>T끼리 맞춤형 망외 150분</v>
      </c>
      <c r="E17" s="61">
        <f t="shared" ref="E17:N17" si="1">IF($C$17="","",VLOOKUP($C$17,$B$24:$N$83,COLUMN()-1,FALSE))</f>
        <v>38500</v>
      </c>
      <c r="F17" s="203">
        <f t="shared" si="1"/>
        <v>150</v>
      </c>
      <c r="G17" s="62" t="str">
        <f t="shared" si="1"/>
        <v>무제한</v>
      </c>
      <c r="H17" s="61">
        <f t="shared" si="1"/>
        <v>250</v>
      </c>
      <c r="I17" s="61">
        <f t="shared" si="1"/>
        <v>7200</v>
      </c>
      <c r="J17" s="63">
        <f t="shared" si="1"/>
        <v>22379.5</v>
      </c>
      <c r="K17" s="76">
        <f t="shared" si="1"/>
        <v>0</v>
      </c>
      <c r="L17" s="77">
        <f t="shared" si="1"/>
        <v>0</v>
      </c>
      <c r="M17" s="64">
        <f t="shared" si="1"/>
        <v>22379.5</v>
      </c>
      <c r="N17" s="65" t="str">
        <f t="shared" si="1"/>
        <v>데이터(2.75GB) 부족</v>
      </c>
      <c r="O17" s="66">
        <f>IF(OR(M16="",M17=""),"",M17-M16)</f>
        <v>622.82219999999506</v>
      </c>
      <c r="P17" s="263"/>
      <c r="Q17" s="263"/>
      <c r="R17" s="263"/>
      <c r="S17" s="263"/>
      <c r="T17" s="263"/>
      <c r="U17" s="263"/>
      <c r="V17" s="420"/>
      <c r="X17" s="256"/>
    </row>
    <row r="18" spans="1:24">
      <c r="A18" s="43"/>
      <c r="B18" s="43"/>
      <c r="C18" s="45">
        <f>IF(COUNT($U$24:$U$83)&gt;=3,VLOOKUP(SMALL($U$24:$U$83,3),$U$24:$U$83,1,FALSE),"")</f>
        <v>3</v>
      </c>
      <c r="D18" s="25" t="str">
        <f>IF($C$18="","",VLOOKUP($C$18,$B$24:$N$83,COLUMN()-1,FALSE))</f>
        <v>T끼리 맞춤형 망외 200분</v>
      </c>
      <c r="E18" s="1">
        <f t="shared" ref="E18:N18" si="2">IF($C$18="","",VLOOKUP($C$18,$B$24:$N$83,COLUMN()-1,FALSE))</f>
        <v>45500</v>
      </c>
      <c r="F18" s="204">
        <f t="shared" si="2"/>
        <v>200</v>
      </c>
      <c r="G18" s="35" t="str">
        <f t="shared" si="2"/>
        <v>무제한</v>
      </c>
      <c r="H18" s="1">
        <f t="shared" si="2"/>
        <v>250</v>
      </c>
      <c r="I18" s="1">
        <f t="shared" si="2"/>
        <v>11250</v>
      </c>
      <c r="J18" s="18">
        <f t="shared" si="2"/>
        <v>24488.75</v>
      </c>
      <c r="K18" s="78">
        <f t="shared" si="2"/>
        <v>0</v>
      </c>
      <c r="L18" s="79">
        <f t="shared" si="2"/>
        <v>0</v>
      </c>
      <c r="M18" s="12">
        <f t="shared" si="2"/>
        <v>24488.75</v>
      </c>
      <c r="N18" s="13" t="str">
        <f t="shared" si="2"/>
        <v>데이터(2.75GB) 부족</v>
      </c>
      <c r="O18" s="2">
        <f t="shared" ref="O18:O20" si="3">IF(OR(M17="",M18=""),"",M18-M17)</f>
        <v>2109.25</v>
      </c>
      <c r="P18" s="263"/>
      <c r="Q18" s="263"/>
      <c r="R18" s="263"/>
      <c r="S18" s="263"/>
      <c r="T18" s="263"/>
      <c r="U18" s="263"/>
      <c r="V18" s="420"/>
      <c r="X18" s="256"/>
    </row>
    <row r="19" spans="1:24">
      <c r="A19" s="43"/>
      <c r="B19" s="43"/>
      <c r="C19" s="45">
        <f>IF(COUNT($U$24:$U$83)&gt;=4,VLOOKUP(SMALL($U$24:$U$83,4),$U$24:$U$83,1,FALSE),"")</f>
        <v>4</v>
      </c>
      <c r="D19" s="60" t="str">
        <f>IF($C$19="","",VLOOKUP($C$19,$B$24:$N$83,COLUMN()-1,FALSE))</f>
        <v>T끼리 맞춤형 망외 100분</v>
      </c>
      <c r="E19" s="61">
        <f t="shared" ref="E19:N19" si="4">IF($C$19="","",VLOOKUP($C$19,$B$24:$N$83,COLUMN()-1,FALSE))</f>
        <v>36500</v>
      </c>
      <c r="F19" s="203">
        <f t="shared" si="4"/>
        <v>100</v>
      </c>
      <c r="G19" s="62" t="str">
        <f t="shared" si="4"/>
        <v>무제한</v>
      </c>
      <c r="H19" s="61">
        <f t="shared" si="4"/>
        <v>700</v>
      </c>
      <c r="I19" s="61">
        <f t="shared" si="4"/>
        <v>7200</v>
      </c>
      <c r="J19" s="63">
        <f t="shared" si="4"/>
        <v>20949.500000000004</v>
      </c>
      <c r="K19" s="76">
        <f t="shared" si="4"/>
        <v>3333.7980000000007</v>
      </c>
      <c r="L19" s="77">
        <f t="shared" si="4"/>
        <v>0</v>
      </c>
      <c r="M19" s="64">
        <f t="shared" si="4"/>
        <v>24616.677800000005</v>
      </c>
      <c r="N19" s="65" t="str">
        <f t="shared" si="4"/>
        <v>데이터(2.3GB) 부족</v>
      </c>
      <c r="O19" s="66">
        <f t="shared" si="3"/>
        <v>127.92780000000494</v>
      </c>
      <c r="P19" s="263"/>
      <c r="Q19" s="263"/>
      <c r="R19" s="263"/>
      <c r="S19" s="263"/>
      <c r="T19" s="263"/>
      <c r="U19" s="263"/>
      <c r="V19" s="420"/>
      <c r="X19" s="256"/>
    </row>
    <row r="20" spans="1:24" ht="17.25" thickBot="1">
      <c r="A20" s="43"/>
      <c r="B20" s="43"/>
      <c r="C20" s="46">
        <f>IF(COUNT($U$24:$U$83)&gt;=5,VLOOKUP(SMALL($U$24:$U$83,5),$U$24:$U$83,1,FALSE),"")</f>
        <v>5</v>
      </c>
      <c r="D20" s="26" t="str">
        <f>IF($C$20="","",VLOOKUP($C$20,$B$24:$N$83,COLUMN()-1,FALSE))</f>
        <v>T끼리 35</v>
      </c>
      <c r="E20" s="3">
        <f t="shared" ref="E20:N20" si="5">IF($C$20="","",VLOOKUP($C$20,$B$24:$N$83,COLUMN()-1,FALSE))</f>
        <v>35000</v>
      </c>
      <c r="F20" s="205">
        <f t="shared" si="5"/>
        <v>80</v>
      </c>
      <c r="G20" s="36" t="str">
        <f t="shared" si="5"/>
        <v>무제한</v>
      </c>
      <c r="H20" s="3">
        <f t="shared" si="5"/>
        <v>550</v>
      </c>
      <c r="I20" s="3">
        <f t="shared" si="5"/>
        <v>7200</v>
      </c>
      <c r="J20" s="19">
        <f t="shared" si="5"/>
        <v>19877.000000000004</v>
      </c>
      <c r="K20" s="80">
        <f t="shared" si="5"/>
        <v>4737.7980000000007</v>
      </c>
      <c r="L20" s="81">
        <f t="shared" si="5"/>
        <v>0</v>
      </c>
      <c r="M20" s="14">
        <f t="shared" si="5"/>
        <v>25088.577800000006</v>
      </c>
      <c r="N20" s="15" t="str">
        <f t="shared" si="5"/>
        <v>데이터(2.45GB) 부족</v>
      </c>
      <c r="O20" s="4">
        <f t="shared" si="3"/>
        <v>471.90000000000146</v>
      </c>
      <c r="P20" s="263"/>
      <c r="Q20" s="263"/>
      <c r="R20" s="263"/>
      <c r="S20" s="263"/>
      <c r="T20" s="263"/>
      <c r="U20" s="263"/>
      <c r="V20" s="420"/>
      <c r="X20" s="256"/>
    </row>
    <row r="21" spans="1:24" ht="23.1" customHeight="1" thickBot="1">
      <c r="C21" s="189"/>
      <c r="D21" s="444" t="str">
        <f>"총 "&amp;COUNTA(D24:D83)&amp;"요금제 중 검색 제외된 요금제는 "&amp;COUNTIF(C24:C83,"O")&amp;"개입니다.  (신규가입 불가능한 요금제는 왼쪽 2번째열에서 O를 선택해주세요)"</f>
        <v>총 60요금제 중 검색 제외된 요금제는 0개입니다.  (신규가입 불가능한 요금제는 왼쪽 2번째열에서 O를 선택해주세요)</v>
      </c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263"/>
      <c r="Q21" s="263"/>
      <c r="R21" s="263"/>
      <c r="S21" s="263"/>
      <c r="T21" s="263"/>
      <c r="U21" s="263"/>
      <c r="V21" s="420"/>
      <c r="X21" s="256"/>
    </row>
    <row r="22" spans="1:24" ht="16.5" customHeight="1">
      <c r="B22" s="187"/>
      <c r="C22" s="614" t="s">
        <v>245</v>
      </c>
      <c r="D22" s="653" t="s">
        <v>3</v>
      </c>
      <c r="E22" s="641" t="s">
        <v>4</v>
      </c>
      <c r="F22" s="641" t="s">
        <v>139</v>
      </c>
      <c r="G22" s="641" t="s">
        <v>140</v>
      </c>
      <c r="H22" s="641" t="s">
        <v>141</v>
      </c>
      <c r="I22" s="467" t="s">
        <v>7</v>
      </c>
      <c r="J22" s="206" t="s">
        <v>142</v>
      </c>
      <c r="K22" s="662" t="s">
        <v>143</v>
      </c>
      <c r="L22" s="664" t="s">
        <v>213</v>
      </c>
      <c r="M22" s="516" t="s">
        <v>244</v>
      </c>
      <c r="N22" s="666" t="s">
        <v>145</v>
      </c>
      <c r="O22" s="675"/>
      <c r="P22" s="263"/>
      <c r="Q22" s="263"/>
      <c r="R22" s="263"/>
      <c r="S22" s="263"/>
      <c r="T22" s="263"/>
      <c r="U22" s="263"/>
      <c r="V22" s="420"/>
      <c r="X22" s="256"/>
    </row>
    <row r="23" spans="1:24" ht="17.25" thickBot="1">
      <c r="B23" s="490" t="s">
        <v>148</v>
      </c>
      <c r="C23" s="615"/>
      <c r="D23" s="656"/>
      <c r="E23" s="657"/>
      <c r="F23" s="657"/>
      <c r="G23" s="658"/>
      <c r="H23" s="657"/>
      <c r="I23" s="207" t="str">
        <f>IF(N8&lt;60,"온가족("&amp;N8&amp;"%)","(24개월)")</f>
        <v>(24개월)</v>
      </c>
      <c r="J23" s="208" t="s">
        <v>147</v>
      </c>
      <c r="K23" s="663"/>
      <c r="L23" s="665"/>
      <c r="M23" s="515" t="str">
        <f>"(부가세"&amp;IF($N$10="O",",복지포함)","포함)")</f>
        <v>(부가세,복지포함)</v>
      </c>
      <c r="N23" s="667"/>
      <c r="O23" s="676"/>
      <c r="P23" s="263"/>
      <c r="Q23" s="263"/>
      <c r="R23" s="425" t="s">
        <v>149</v>
      </c>
      <c r="S23" s="425" t="s">
        <v>145</v>
      </c>
      <c r="T23" s="263" t="s">
        <v>150</v>
      </c>
      <c r="U23" s="425" t="s">
        <v>151</v>
      </c>
      <c r="W23" s="263" t="s">
        <v>244</v>
      </c>
    </row>
    <row r="24" spans="1:24" ht="17.100000000000001" customHeight="1">
      <c r="A24" s="209">
        <v>7200</v>
      </c>
      <c r="B24" s="121">
        <f>IF(C24="O","",RANK(W24,W$24:W$83,1)+COUNTIF($W$24:W24,W24)-1)</f>
        <v>5</v>
      </c>
      <c r="C24" s="491"/>
      <c r="D24" s="122" t="s">
        <v>152</v>
      </c>
      <c r="E24" s="20">
        <v>35000</v>
      </c>
      <c r="F24" s="210">
        <v>80</v>
      </c>
      <c r="G24" s="211" t="s">
        <v>153</v>
      </c>
      <c r="H24" s="212">
        <v>550</v>
      </c>
      <c r="I24" s="20">
        <f t="shared" ref="I24:I55" si="6">IF($N$8&lt;60,E24*$N$8/100,A24)</f>
        <v>7200</v>
      </c>
      <c r="J24" s="52">
        <f t="shared" ref="J24:J63" si="7">IF($N$10="X",(E24-I24)*1.1,(E24-I24)*1.1*0.65)</f>
        <v>19877.000000000004</v>
      </c>
      <c r="K24" s="82">
        <f>IF(F$8*(100-F$9)/100&lt;F24,0,((F$8*(100-F$9)/100)-F24)*60*1.8)*IF($N$10="O",0.65,1)</f>
        <v>4737.7980000000007</v>
      </c>
      <c r="L24" s="83">
        <v>0</v>
      </c>
      <c r="M24" s="53">
        <f>J24+(K24+L24)*1.1</f>
        <v>25088.577800000006</v>
      </c>
      <c r="N24" s="21" t="str">
        <f t="shared" ref="N24:N83" si="8">IF(($F$11-H24)&gt;0,"데이터("&amp;P24/1000&amp;"GB) 부족","")</f>
        <v>데이터(2.45GB) 부족</v>
      </c>
      <c r="O24" s="670" t="s">
        <v>154</v>
      </c>
      <c r="P24" s="426">
        <f t="shared" ref="P24:P83" si="9">$F$11-H24</f>
        <v>2450</v>
      </c>
      <c r="Q24" s="426">
        <f t="shared" ref="Q24:Q55" si="10">B24</f>
        <v>5</v>
      </c>
      <c r="R24" s="263">
        <f t="shared" ref="R24:R38" si="11">B24</f>
        <v>5</v>
      </c>
      <c r="S24" s="263" t="str">
        <f t="shared" ref="S24:S55" si="12">IF($F$11&lt;=H24,B24,"")</f>
        <v/>
      </c>
      <c r="T24" s="263" t="str">
        <f>S24</f>
        <v/>
      </c>
      <c r="U24" s="263">
        <f>VLOOKUP(B24,$B$24:$T$83,$Q$13+16,FALSE)</f>
        <v>5</v>
      </c>
      <c r="W24" s="464">
        <f t="shared" ref="W24:W55" si="13">IF(C24="O","",M24)</f>
        <v>25088.577800000006</v>
      </c>
    </row>
    <row r="25" spans="1:24" ht="17.100000000000001" customHeight="1">
      <c r="A25" s="209">
        <v>11250</v>
      </c>
      <c r="B25" s="466">
        <f>IF(C25="O","",RANK(W25,W$24:W$83,1)+COUNTIF($W$24:W25,W25)-1)</f>
        <v>6</v>
      </c>
      <c r="C25" s="492"/>
      <c r="D25" s="37" t="s">
        <v>155</v>
      </c>
      <c r="E25" s="22">
        <v>45000</v>
      </c>
      <c r="F25" s="213">
        <v>130</v>
      </c>
      <c r="G25" s="214" t="s">
        <v>153</v>
      </c>
      <c r="H25" s="215">
        <v>1100</v>
      </c>
      <c r="I25" s="22">
        <f t="shared" si="6"/>
        <v>11250</v>
      </c>
      <c r="J25" s="38">
        <f t="shared" si="7"/>
        <v>24131.25</v>
      </c>
      <c r="K25" s="84">
        <f t="shared" ref="K25:K29" si="14">IF(F$8*(100-F$9)/100&lt;F25,0,((F$8*(100-F$9)/100)-F25)*60*1.8)*IF($N$10="O",0.65,1)</f>
        <v>1227.7980000000007</v>
      </c>
      <c r="L25" s="85">
        <v>0</v>
      </c>
      <c r="M25" s="39">
        <f t="shared" ref="M25:M83" si="15">J25+(K25+L25)*1.1</f>
        <v>25481.827799999999</v>
      </c>
      <c r="N25" s="23" t="str">
        <f t="shared" si="8"/>
        <v>데이터(1.9GB) 부족</v>
      </c>
      <c r="O25" s="671"/>
      <c r="P25" s="426">
        <f t="shared" si="9"/>
        <v>1900</v>
      </c>
      <c r="Q25" s="426">
        <f t="shared" si="10"/>
        <v>6</v>
      </c>
      <c r="R25" s="263">
        <f t="shared" si="11"/>
        <v>6</v>
      </c>
      <c r="S25" s="263" t="str">
        <f t="shared" si="12"/>
        <v/>
      </c>
      <c r="T25" s="263" t="str">
        <f t="shared" ref="T25:T38" si="16">S25</f>
        <v/>
      </c>
      <c r="U25" s="263">
        <f t="shared" ref="U25:U83" si="17">VLOOKUP(B25,$B$24:$T$83,$Q$13+16,FALSE)</f>
        <v>6</v>
      </c>
      <c r="W25" s="464">
        <f t="shared" si="13"/>
        <v>25481.827799999999</v>
      </c>
    </row>
    <row r="26" spans="1:24" ht="17.100000000000001" customHeight="1">
      <c r="A26" s="209">
        <v>14250</v>
      </c>
      <c r="B26" s="466">
        <f>IF(C26="O","",RANK(W26,W$24:W$83,1)+COUNTIF($W$24:W26,W26)-1)</f>
        <v>15</v>
      </c>
      <c r="C26" s="492"/>
      <c r="D26" s="37" t="s">
        <v>156</v>
      </c>
      <c r="E26" s="22">
        <v>55000</v>
      </c>
      <c r="F26" s="213">
        <v>180</v>
      </c>
      <c r="G26" s="214" t="s">
        <v>153</v>
      </c>
      <c r="H26" s="215">
        <v>2000</v>
      </c>
      <c r="I26" s="22">
        <f t="shared" si="6"/>
        <v>14250</v>
      </c>
      <c r="J26" s="38">
        <f t="shared" si="7"/>
        <v>29136.25</v>
      </c>
      <c r="K26" s="84">
        <f t="shared" si="14"/>
        <v>0</v>
      </c>
      <c r="L26" s="85">
        <v>0</v>
      </c>
      <c r="M26" s="39">
        <f t="shared" si="15"/>
        <v>29136.25</v>
      </c>
      <c r="N26" s="23" t="str">
        <f t="shared" si="8"/>
        <v>데이터(1GB) 부족</v>
      </c>
      <c r="O26" s="671"/>
      <c r="P26" s="426">
        <f t="shared" si="9"/>
        <v>1000</v>
      </c>
      <c r="Q26" s="426">
        <f t="shared" si="10"/>
        <v>15</v>
      </c>
      <c r="R26" s="263">
        <f t="shared" si="11"/>
        <v>15</v>
      </c>
      <c r="S26" s="263" t="str">
        <f t="shared" si="12"/>
        <v/>
      </c>
      <c r="T26" s="263" t="str">
        <f t="shared" si="16"/>
        <v/>
      </c>
      <c r="U26" s="263">
        <f t="shared" si="17"/>
        <v>15</v>
      </c>
      <c r="W26" s="464">
        <f t="shared" si="13"/>
        <v>29136.25</v>
      </c>
    </row>
    <row r="27" spans="1:24" ht="17.100000000000001" customHeight="1">
      <c r="A27" s="209">
        <v>16750</v>
      </c>
      <c r="B27" s="466">
        <f>IF(C27="O","",RANK(W27,W$24:W$83,1)+COUNTIF($W$24:W27,W27)-1)</f>
        <v>36</v>
      </c>
      <c r="C27" s="492"/>
      <c r="D27" s="37" t="s">
        <v>157</v>
      </c>
      <c r="E27" s="22">
        <v>65000</v>
      </c>
      <c r="F27" s="213">
        <v>280</v>
      </c>
      <c r="G27" s="214" t="s">
        <v>153</v>
      </c>
      <c r="H27" s="215">
        <v>5000</v>
      </c>
      <c r="I27" s="22">
        <f t="shared" si="6"/>
        <v>16750</v>
      </c>
      <c r="J27" s="38">
        <f t="shared" si="7"/>
        <v>34498.750000000007</v>
      </c>
      <c r="K27" s="84">
        <f t="shared" si="14"/>
        <v>0</v>
      </c>
      <c r="L27" s="85">
        <v>0</v>
      </c>
      <c r="M27" s="39">
        <f t="shared" si="15"/>
        <v>34498.750000000007</v>
      </c>
      <c r="N27" s="23" t="str">
        <f t="shared" si="8"/>
        <v/>
      </c>
      <c r="O27" s="671"/>
      <c r="P27" s="426">
        <f t="shared" si="9"/>
        <v>-2000</v>
      </c>
      <c r="Q27" s="426">
        <f t="shared" si="10"/>
        <v>36</v>
      </c>
      <c r="R27" s="263">
        <f t="shared" si="11"/>
        <v>36</v>
      </c>
      <c r="S27" s="263">
        <f t="shared" si="12"/>
        <v>36</v>
      </c>
      <c r="T27" s="263">
        <f t="shared" si="16"/>
        <v>36</v>
      </c>
      <c r="U27" s="263">
        <f t="shared" si="17"/>
        <v>36</v>
      </c>
      <c r="W27" s="464">
        <f t="shared" si="13"/>
        <v>34498.750000000007</v>
      </c>
    </row>
    <row r="28" spans="1:24" ht="17.100000000000001" customHeight="1" thickBot="1">
      <c r="A28" s="209">
        <v>17500</v>
      </c>
      <c r="B28" s="466">
        <f>IF(C28="O","",RANK(W28,W$24:W$83,1)+COUNTIF($W$24:W28,W28)-1)</f>
        <v>42</v>
      </c>
      <c r="C28" s="493"/>
      <c r="D28" s="265" t="s">
        <v>219</v>
      </c>
      <c r="E28" s="161">
        <v>69000</v>
      </c>
      <c r="F28" s="266" t="s">
        <v>158</v>
      </c>
      <c r="G28" s="267" t="s">
        <v>153</v>
      </c>
      <c r="H28" s="268">
        <v>5000</v>
      </c>
      <c r="I28" s="161">
        <f t="shared" si="6"/>
        <v>17500</v>
      </c>
      <c r="J28" s="162">
        <f t="shared" si="7"/>
        <v>36822.500000000007</v>
      </c>
      <c r="K28" s="88">
        <f t="shared" si="14"/>
        <v>0</v>
      </c>
      <c r="L28" s="100">
        <v>0</v>
      </c>
      <c r="M28" s="163">
        <f t="shared" si="15"/>
        <v>36822.500000000007</v>
      </c>
      <c r="N28" s="164" t="str">
        <f t="shared" si="8"/>
        <v/>
      </c>
      <c r="O28" s="671"/>
      <c r="P28" s="426">
        <f t="shared" si="9"/>
        <v>-2000</v>
      </c>
      <c r="Q28" s="426">
        <f t="shared" si="10"/>
        <v>42</v>
      </c>
      <c r="R28" s="263">
        <f t="shared" si="11"/>
        <v>42</v>
      </c>
      <c r="S28" s="263">
        <f t="shared" si="12"/>
        <v>42</v>
      </c>
      <c r="T28" s="263">
        <f t="shared" si="16"/>
        <v>42</v>
      </c>
      <c r="U28" s="263">
        <f t="shared" si="17"/>
        <v>42</v>
      </c>
      <c r="W28" s="464">
        <f t="shared" si="13"/>
        <v>36822.500000000007</v>
      </c>
    </row>
    <row r="29" spans="1:24" ht="17.100000000000001" customHeight="1">
      <c r="A29" s="209">
        <v>18750</v>
      </c>
      <c r="B29" s="466">
        <f>IF(C29="O","",RANK(W29,W$24:W$83,1)+COUNTIF($W$24:W29,W29)-1)</f>
        <v>55</v>
      </c>
      <c r="C29" s="491"/>
      <c r="D29" s="269" t="s">
        <v>220</v>
      </c>
      <c r="E29" s="20">
        <v>80000</v>
      </c>
      <c r="F29" s="238" t="s">
        <v>158</v>
      </c>
      <c r="G29" s="211" t="s">
        <v>153</v>
      </c>
      <c r="H29" s="270" t="s">
        <v>15</v>
      </c>
      <c r="I29" s="20">
        <f>IF($N$8&lt;60,75000*$N$8/100,A29)</f>
        <v>18750</v>
      </c>
      <c r="J29" s="52">
        <f>IF($N$10="X",(E29-I29)*1.1,(E29-I29)*1.1*0.65)</f>
        <v>43793.75</v>
      </c>
      <c r="K29" s="82">
        <f t="shared" si="14"/>
        <v>0</v>
      </c>
      <c r="L29" s="83">
        <v>0</v>
      </c>
      <c r="M29" s="53">
        <f t="shared" si="15"/>
        <v>43793.75</v>
      </c>
      <c r="N29" s="21"/>
      <c r="O29" s="672" t="s">
        <v>223</v>
      </c>
      <c r="P29" s="426">
        <v>1</v>
      </c>
      <c r="Q29" s="426">
        <f t="shared" si="10"/>
        <v>55</v>
      </c>
      <c r="R29" s="263">
        <f t="shared" si="11"/>
        <v>55</v>
      </c>
      <c r="S29" s="263">
        <f t="shared" si="12"/>
        <v>55</v>
      </c>
      <c r="T29" s="263">
        <f t="shared" si="16"/>
        <v>55</v>
      </c>
      <c r="U29" s="263">
        <f t="shared" si="17"/>
        <v>55</v>
      </c>
      <c r="W29" s="464">
        <f t="shared" si="13"/>
        <v>43793.75</v>
      </c>
    </row>
    <row r="30" spans="1:24" ht="17.100000000000001" customHeight="1">
      <c r="A30" s="209">
        <v>20000</v>
      </c>
      <c r="B30" s="466">
        <f>IF(C30="O","",RANK(W30,W$24:W$83,1)+COUNTIF($W$24:W30,W30)-1)</f>
        <v>57</v>
      </c>
      <c r="C30" s="492"/>
      <c r="D30" s="175" t="s">
        <v>221</v>
      </c>
      <c r="E30" s="22">
        <v>85000</v>
      </c>
      <c r="F30" s="216" t="s">
        <v>159</v>
      </c>
      <c r="G30" s="214" t="s">
        <v>153</v>
      </c>
      <c r="H30" s="271" t="s">
        <v>15</v>
      </c>
      <c r="I30" s="22">
        <f t="shared" si="6"/>
        <v>20000</v>
      </c>
      <c r="J30" s="38">
        <f t="shared" si="7"/>
        <v>46475</v>
      </c>
      <c r="K30" s="84">
        <v>0</v>
      </c>
      <c r="L30" s="85">
        <v>0</v>
      </c>
      <c r="M30" s="39">
        <f t="shared" si="15"/>
        <v>46475</v>
      </c>
      <c r="N30" s="23"/>
      <c r="O30" s="673"/>
      <c r="P30" s="426">
        <v>1</v>
      </c>
      <c r="Q30" s="426">
        <f t="shared" si="10"/>
        <v>57</v>
      </c>
      <c r="R30" s="263">
        <f t="shared" si="11"/>
        <v>57</v>
      </c>
      <c r="S30" s="263">
        <f t="shared" si="12"/>
        <v>57</v>
      </c>
      <c r="T30" s="263">
        <f t="shared" si="16"/>
        <v>57</v>
      </c>
      <c r="U30" s="263">
        <f t="shared" si="17"/>
        <v>57</v>
      </c>
      <c r="W30" s="464">
        <f t="shared" si="13"/>
        <v>46475</v>
      </c>
    </row>
    <row r="31" spans="1:24" ht="17.100000000000001" customHeight="1" thickBot="1">
      <c r="A31" s="209">
        <v>24000</v>
      </c>
      <c r="B31" s="466">
        <f>IF(C31="O","",RANK(W31,W$24:W$83,1)+COUNTIF($W$24:W31,W31)-1)</f>
        <v>59</v>
      </c>
      <c r="C31" s="494"/>
      <c r="D31" s="177" t="s">
        <v>222</v>
      </c>
      <c r="E31" s="54">
        <v>100000</v>
      </c>
      <c r="F31" s="217" t="s">
        <v>159</v>
      </c>
      <c r="G31" s="218" t="s">
        <v>153</v>
      </c>
      <c r="H31" s="272" t="s">
        <v>15</v>
      </c>
      <c r="I31" s="54">
        <f t="shared" si="6"/>
        <v>24000</v>
      </c>
      <c r="J31" s="55">
        <f t="shared" si="7"/>
        <v>54340</v>
      </c>
      <c r="K31" s="86">
        <v>0</v>
      </c>
      <c r="L31" s="87">
        <v>0</v>
      </c>
      <c r="M31" s="56">
        <f t="shared" si="15"/>
        <v>54340</v>
      </c>
      <c r="N31" s="57"/>
      <c r="O31" s="674"/>
      <c r="P31" s="426">
        <v>1</v>
      </c>
      <c r="Q31" s="426">
        <f t="shared" si="10"/>
        <v>59</v>
      </c>
      <c r="R31" s="263">
        <f t="shared" si="11"/>
        <v>59</v>
      </c>
      <c r="S31" s="263">
        <f t="shared" si="12"/>
        <v>59</v>
      </c>
      <c r="T31" s="263">
        <f t="shared" si="16"/>
        <v>59</v>
      </c>
      <c r="U31" s="263">
        <f t="shared" si="17"/>
        <v>59</v>
      </c>
      <c r="W31" s="464">
        <f t="shared" si="13"/>
        <v>54340</v>
      </c>
    </row>
    <row r="32" spans="1:24" ht="17.100000000000001" customHeight="1">
      <c r="A32" s="219">
        <v>7000</v>
      </c>
      <c r="B32" s="466">
        <f>IF(C32="O","",RANK(W32,W$24:W$83,1)+COUNTIF($W$24:W32,W32)-1)</f>
        <v>31</v>
      </c>
      <c r="C32" s="495"/>
      <c r="D32" s="148" t="s">
        <v>160</v>
      </c>
      <c r="E32" s="16">
        <v>34000</v>
      </c>
      <c r="F32" s="220">
        <v>120</v>
      </c>
      <c r="G32" s="221">
        <v>200</v>
      </c>
      <c r="H32" s="222">
        <v>800</v>
      </c>
      <c r="I32" s="20">
        <f t="shared" si="6"/>
        <v>7000</v>
      </c>
      <c r="J32" s="52">
        <f t="shared" si="7"/>
        <v>19305.000000000004</v>
      </c>
      <c r="K32" s="82">
        <f>IF(OR($F$8="",$F$8&lt;$F32),0,($F$8-F32)*60*1.8)*IF($N$10="O",0.65,1)</f>
        <v>12706.2</v>
      </c>
      <c r="L32" s="83">
        <f>IF($F$10&lt;$G32,0,($F$10-G32)*20)*IF($N$10="O",0.65,1)</f>
        <v>13</v>
      </c>
      <c r="M32" s="53">
        <f t="shared" si="15"/>
        <v>33296.12000000001</v>
      </c>
      <c r="N32" s="21" t="str">
        <f t="shared" si="8"/>
        <v>데이터(2.2GB) 부족</v>
      </c>
      <c r="O32" s="659" t="s">
        <v>161</v>
      </c>
      <c r="P32" s="426">
        <f t="shared" si="9"/>
        <v>2200</v>
      </c>
      <c r="Q32" s="426">
        <f t="shared" si="10"/>
        <v>31</v>
      </c>
      <c r="R32" s="263">
        <f t="shared" si="11"/>
        <v>31</v>
      </c>
      <c r="S32" s="263" t="str">
        <f t="shared" si="12"/>
        <v/>
      </c>
      <c r="T32" s="263" t="str">
        <f t="shared" si="16"/>
        <v/>
      </c>
      <c r="U32" s="263">
        <f t="shared" si="17"/>
        <v>31</v>
      </c>
      <c r="W32" s="464">
        <f t="shared" si="13"/>
        <v>33296.12000000001</v>
      </c>
    </row>
    <row r="33" spans="1:23" ht="17.100000000000001" customHeight="1">
      <c r="A33" s="219">
        <v>10500</v>
      </c>
      <c r="B33" s="466">
        <f>IF(C33="O","",RANK(W33,W$24:W$83,1)+COUNTIF($W$24:W33,W33)-1)</f>
        <v>26</v>
      </c>
      <c r="C33" s="496"/>
      <c r="D33" s="5" t="s">
        <v>162</v>
      </c>
      <c r="E33" s="6">
        <v>42000</v>
      </c>
      <c r="F33" s="223">
        <v>180</v>
      </c>
      <c r="G33" s="224">
        <v>200</v>
      </c>
      <c r="H33" s="225">
        <v>1600</v>
      </c>
      <c r="I33" s="22">
        <f t="shared" si="6"/>
        <v>10500</v>
      </c>
      <c r="J33" s="38">
        <f t="shared" si="7"/>
        <v>22522.5</v>
      </c>
      <c r="K33" s="84">
        <f t="shared" ref="K33:K38" si="18">IF(OR($F$8="",$F$8&lt;$F33),0,($F$8-F33)*60*1.8)*IF($N$10="O",0.65,1)</f>
        <v>8494.2000000000007</v>
      </c>
      <c r="L33" s="85">
        <f t="shared" ref="L33:L38" si="19">IF($F$10&lt;$G33,0,($F$10-G33)*20)*IF($N$10="O",0.65,1)</f>
        <v>13</v>
      </c>
      <c r="M33" s="39">
        <f t="shared" si="15"/>
        <v>31880.420000000002</v>
      </c>
      <c r="N33" s="23" t="str">
        <f t="shared" si="8"/>
        <v>데이터(1.4GB) 부족</v>
      </c>
      <c r="O33" s="660"/>
      <c r="P33" s="426">
        <f t="shared" si="9"/>
        <v>1400</v>
      </c>
      <c r="Q33" s="426">
        <f t="shared" si="10"/>
        <v>26</v>
      </c>
      <c r="R33" s="263">
        <f t="shared" si="11"/>
        <v>26</v>
      </c>
      <c r="S33" s="263" t="str">
        <f t="shared" si="12"/>
        <v/>
      </c>
      <c r="T33" s="263" t="str">
        <f t="shared" si="16"/>
        <v/>
      </c>
      <c r="U33" s="263">
        <f t="shared" si="17"/>
        <v>26</v>
      </c>
      <c r="W33" s="464">
        <f t="shared" si="13"/>
        <v>31880.420000000002</v>
      </c>
    </row>
    <row r="34" spans="1:23" ht="17.100000000000001" customHeight="1">
      <c r="A34" s="219">
        <v>13500</v>
      </c>
      <c r="B34" s="466">
        <f>IF(C34="O","",RANK(W34,W$24:W$83,1)+COUNTIF($W$24:W34,W34)-1)</f>
        <v>23</v>
      </c>
      <c r="C34" s="496"/>
      <c r="D34" s="5" t="s">
        <v>163</v>
      </c>
      <c r="E34" s="6">
        <v>52000</v>
      </c>
      <c r="F34" s="223">
        <v>250</v>
      </c>
      <c r="G34" s="224">
        <v>250</v>
      </c>
      <c r="H34" s="225">
        <v>2600</v>
      </c>
      <c r="I34" s="22">
        <f t="shared" si="6"/>
        <v>13500</v>
      </c>
      <c r="J34" s="38">
        <f t="shared" si="7"/>
        <v>27527.5</v>
      </c>
      <c r="K34" s="84">
        <f t="shared" si="18"/>
        <v>3580.2000000000003</v>
      </c>
      <c r="L34" s="85">
        <f t="shared" si="19"/>
        <v>0</v>
      </c>
      <c r="M34" s="39">
        <f t="shared" si="15"/>
        <v>31465.72</v>
      </c>
      <c r="N34" s="23" t="str">
        <f t="shared" si="8"/>
        <v>데이터(0.4GB) 부족</v>
      </c>
      <c r="O34" s="660"/>
      <c r="P34" s="426">
        <f t="shared" si="9"/>
        <v>400</v>
      </c>
      <c r="Q34" s="426">
        <f t="shared" si="10"/>
        <v>23</v>
      </c>
      <c r="R34" s="263">
        <f t="shared" si="11"/>
        <v>23</v>
      </c>
      <c r="S34" s="263" t="str">
        <f t="shared" si="12"/>
        <v/>
      </c>
      <c r="T34" s="263" t="str">
        <f t="shared" si="16"/>
        <v/>
      </c>
      <c r="U34" s="263">
        <f t="shared" si="17"/>
        <v>23</v>
      </c>
      <c r="W34" s="464">
        <f t="shared" si="13"/>
        <v>31465.72</v>
      </c>
    </row>
    <row r="35" spans="1:23" ht="17.100000000000001" customHeight="1">
      <c r="A35" s="219">
        <v>16000</v>
      </c>
      <c r="B35" s="466">
        <f>IF(C35="O","",RANK(W35,W$24:W$83,1)+COUNTIF($W$24:W35,W35)-1)</f>
        <v>30</v>
      </c>
      <c r="C35" s="496"/>
      <c r="D35" s="5" t="s">
        <v>90</v>
      </c>
      <c r="E35" s="6">
        <v>62000</v>
      </c>
      <c r="F35" s="223">
        <v>350</v>
      </c>
      <c r="G35" s="224">
        <v>350</v>
      </c>
      <c r="H35" s="225">
        <v>5000</v>
      </c>
      <c r="I35" s="22">
        <f t="shared" si="6"/>
        <v>16000</v>
      </c>
      <c r="J35" s="38">
        <f t="shared" si="7"/>
        <v>32890.000000000007</v>
      </c>
      <c r="K35" s="84">
        <f t="shared" si="18"/>
        <v>0</v>
      </c>
      <c r="L35" s="85">
        <f t="shared" si="19"/>
        <v>0</v>
      </c>
      <c r="M35" s="39">
        <f t="shared" si="15"/>
        <v>32890.000000000007</v>
      </c>
      <c r="N35" s="23" t="str">
        <f t="shared" si="8"/>
        <v/>
      </c>
      <c r="O35" s="660"/>
      <c r="P35" s="426">
        <f t="shared" si="9"/>
        <v>-2000</v>
      </c>
      <c r="Q35" s="426">
        <f t="shared" si="10"/>
        <v>30</v>
      </c>
      <c r="R35" s="263">
        <f t="shared" si="11"/>
        <v>30</v>
      </c>
      <c r="S35" s="263">
        <f t="shared" si="12"/>
        <v>30</v>
      </c>
      <c r="T35" s="263">
        <f t="shared" si="16"/>
        <v>30</v>
      </c>
      <c r="U35" s="263">
        <f t="shared" si="17"/>
        <v>30</v>
      </c>
      <c r="W35" s="464">
        <f t="shared" si="13"/>
        <v>32890.000000000007</v>
      </c>
    </row>
    <row r="36" spans="1:23" ht="17.100000000000001" customHeight="1">
      <c r="A36" s="219">
        <v>18000</v>
      </c>
      <c r="B36" s="466">
        <f>IF(C36="O","",RANK(W36,W$24:W$83,1)+COUNTIF($W$24:W36,W36)-1)</f>
        <v>47</v>
      </c>
      <c r="C36" s="496"/>
      <c r="D36" s="5" t="s">
        <v>91</v>
      </c>
      <c r="E36" s="6">
        <v>72000</v>
      </c>
      <c r="F36" s="223">
        <v>450</v>
      </c>
      <c r="G36" s="224">
        <v>450</v>
      </c>
      <c r="H36" s="225">
        <v>9000</v>
      </c>
      <c r="I36" s="22">
        <f t="shared" si="6"/>
        <v>18000</v>
      </c>
      <c r="J36" s="38">
        <f t="shared" si="7"/>
        <v>38610.000000000007</v>
      </c>
      <c r="K36" s="84">
        <f t="shared" si="18"/>
        <v>0</v>
      </c>
      <c r="L36" s="85">
        <f t="shared" si="19"/>
        <v>0</v>
      </c>
      <c r="M36" s="39">
        <f t="shared" si="15"/>
        <v>38610.000000000007</v>
      </c>
      <c r="N36" s="23" t="str">
        <f t="shared" si="8"/>
        <v/>
      </c>
      <c r="O36" s="660"/>
      <c r="P36" s="426">
        <f t="shared" si="9"/>
        <v>-6000</v>
      </c>
      <c r="Q36" s="426">
        <f t="shared" si="10"/>
        <v>47</v>
      </c>
      <c r="R36" s="263">
        <f t="shared" si="11"/>
        <v>47</v>
      </c>
      <c r="S36" s="263">
        <f t="shared" si="12"/>
        <v>47</v>
      </c>
      <c r="T36" s="263">
        <f t="shared" si="16"/>
        <v>47</v>
      </c>
      <c r="U36" s="263">
        <f t="shared" si="17"/>
        <v>47</v>
      </c>
      <c r="W36" s="464">
        <f t="shared" si="13"/>
        <v>38610.000000000007</v>
      </c>
    </row>
    <row r="37" spans="1:23" ht="17.100000000000001" customHeight="1">
      <c r="A37" s="219">
        <v>20000</v>
      </c>
      <c r="B37" s="466">
        <f>IF(C37="O","",RANK(W37,W$24:W$83,1)+COUNTIF($W$24:W37,W37)-1)</f>
        <v>58</v>
      </c>
      <c r="C37" s="496"/>
      <c r="D37" s="5" t="s">
        <v>164</v>
      </c>
      <c r="E37" s="6">
        <v>85000</v>
      </c>
      <c r="F37" s="223">
        <v>650</v>
      </c>
      <c r="G37" s="224">
        <v>650</v>
      </c>
      <c r="H37" s="225">
        <v>13000</v>
      </c>
      <c r="I37" s="22">
        <f t="shared" si="6"/>
        <v>20000</v>
      </c>
      <c r="J37" s="38">
        <f t="shared" si="7"/>
        <v>46475</v>
      </c>
      <c r="K37" s="84">
        <f t="shared" si="18"/>
        <v>0</v>
      </c>
      <c r="L37" s="85">
        <f t="shared" si="19"/>
        <v>0</v>
      </c>
      <c r="M37" s="39">
        <f t="shared" si="15"/>
        <v>46475</v>
      </c>
      <c r="N37" s="23" t="str">
        <f t="shared" si="8"/>
        <v/>
      </c>
      <c r="O37" s="660"/>
      <c r="P37" s="426">
        <f t="shared" si="9"/>
        <v>-10000</v>
      </c>
      <c r="Q37" s="426">
        <f t="shared" si="10"/>
        <v>58</v>
      </c>
      <c r="R37" s="263">
        <f t="shared" si="11"/>
        <v>58</v>
      </c>
      <c r="S37" s="263">
        <f t="shared" si="12"/>
        <v>58</v>
      </c>
      <c r="T37" s="263">
        <f t="shared" si="16"/>
        <v>58</v>
      </c>
      <c r="U37" s="263">
        <f t="shared" si="17"/>
        <v>58</v>
      </c>
      <c r="W37" s="464">
        <f t="shared" si="13"/>
        <v>46475</v>
      </c>
    </row>
    <row r="38" spans="1:23" ht="17.100000000000001" customHeight="1" thickBot="1">
      <c r="A38" s="219">
        <v>24000</v>
      </c>
      <c r="B38" s="466">
        <f>IF(C38="O","",RANK(W38,W$24:W$83,1)+COUNTIF($W$24:W38,W38)-1)</f>
        <v>60</v>
      </c>
      <c r="C38" s="497"/>
      <c r="D38" s="7" t="s">
        <v>165</v>
      </c>
      <c r="E38" s="8">
        <v>100000</v>
      </c>
      <c r="F38" s="226">
        <v>1050</v>
      </c>
      <c r="G38" s="227">
        <v>1050</v>
      </c>
      <c r="H38" s="228">
        <v>18000</v>
      </c>
      <c r="I38" s="54">
        <f t="shared" si="6"/>
        <v>24000</v>
      </c>
      <c r="J38" s="55">
        <f t="shared" si="7"/>
        <v>54340</v>
      </c>
      <c r="K38" s="86">
        <f t="shared" si="18"/>
        <v>0</v>
      </c>
      <c r="L38" s="87">
        <f t="shared" si="19"/>
        <v>0</v>
      </c>
      <c r="M38" s="56">
        <f t="shared" si="15"/>
        <v>54340</v>
      </c>
      <c r="N38" s="57" t="str">
        <f t="shared" si="8"/>
        <v/>
      </c>
      <c r="O38" s="661"/>
      <c r="P38" s="426">
        <f t="shared" si="9"/>
        <v>-15000</v>
      </c>
      <c r="Q38" s="426">
        <f t="shared" si="10"/>
        <v>60</v>
      </c>
      <c r="R38" s="263">
        <f t="shared" si="11"/>
        <v>60</v>
      </c>
      <c r="S38" s="263">
        <f t="shared" si="12"/>
        <v>60</v>
      </c>
      <c r="T38" s="263">
        <f t="shared" si="16"/>
        <v>60</v>
      </c>
      <c r="U38" s="263">
        <f t="shared" si="17"/>
        <v>60</v>
      </c>
      <c r="W38" s="464">
        <f t="shared" si="13"/>
        <v>54340</v>
      </c>
    </row>
    <row r="39" spans="1:23" ht="17.100000000000001" customHeight="1">
      <c r="A39" s="229">
        <v>7200</v>
      </c>
      <c r="B39" s="466">
        <f>IF(C39="O","",RANK(W39,W$24:W$83,1)+COUNTIF($W$24:W39,W39)-1)</f>
        <v>1</v>
      </c>
      <c r="C39" s="498"/>
      <c r="D39" s="230" t="s">
        <v>166</v>
      </c>
      <c r="E39" s="231">
        <v>32500</v>
      </c>
      <c r="F39" s="220">
        <v>100</v>
      </c>
      <c r="G39" s="221" t="s">
        <v>153</v>
      </c>
      <c r="H39" s="16">
        <v>250</v>
      </c>
      <c r="I39" s="16">
        <f t="shared" si="6"/>
        <v>7200</v>
      </c>
      <c r="J39" s="27">
        <f t="shared" si="7"/>
        <v>18089.500000000004</v>
      </c>
      <c r="K39" s="82">
        <f>IF(F$8*(100-F$9)/100&lt;F39,0,((F$8*(100-F$9)/100)-F39)*60*1.8)*IF($N$10="O",0.65,1)</f>
        <v>3333.7980000000007</v>
      </c>
      <c r="L39" s="83">
        <v>0</v>
      </c>
      <c r="M39" s="53">
        <f t="shared" si="15"/>
        <v>21756.677800000005</v>
      </c>
      <c r="N39" s="30" t="str">
        <f t="shared" si="8"/>
        <v>데이터(2.75GB) 부족</v>
      </c>
      <c r="O39" s="680" t="s">
        <v>167</v>
      </c>
      <c r="P39" s="263">
        <f t="shared" si="9"/>
        <v>2750</v>
      </c>
      <c r="Q39" s="426">
        <f t="shared" si="10"/>
        <v>1</v>
      </c>
      <c r="R39" s="263">
        <f>IF(B39=SMALL(B$39:B$43,1),B39,"")</f>
        <v>1</v>
      </c>
      <c r="S39" s="263" t="str">
        <f t="shared" si="12"/>
        <v/>
      </c>
      <c r="T39" s="263" t="str">
        <f>IF(S39="","",IF(B39=SMALL(S$39:S$43,1),B39,""))</f>
        <v/>
      </c>
      <c r="U39" s="263">
        <f t="shared" si="17"/>
        <v>1</v>
      </c>
      <c r="W39" s="464">
        <f t="shared" si="13"/>
        <v>21756.677800000005</v>
      </c>
    </row>
    <row r="40" spans="1:23" ht="17.100000000000001" customHeight="1">
      <c r="A40" s="229">
        <v>7200</v>
      </c>
      <c r="B40" s="466">
        <f>IF(C40="O","",RANK(W40,W$24:W$83,1)+COUNTIF($W$24:W40,W40)-1)</f>
        <v>4</v>
      </c>
      <c r="C40" s="485"/>
      <c r="D40" s="232" t="s">
        <v>166</v>
      </c>
      <c r="E40" s="233">
        <v>36500</v>
      </c>
      <c r="F40" s="223">
        <v>100</v>
      </c>
      <c r="G40" s="224" t="s">
        <v>153</v>
      </c>
      <c r="H40" s="6">
        <v>700</v>
      </c>
      <c r="I40" s="6">
        <f t="shared" si="6"/>
        <v>7200</v>
      </c>
      <c r="J40" s="28">
        <f t="shared" si="7"/>
        <v>20949.500000000004</v>
      </c>
      <c r="K40" s="84">
        <f t="shared" ref="K40:K43" si="20">IF(F$8*(100-F$9)/100&lt;F40,0,((F$8*(100-F$9)/100)-F40)*60*1.8)*IF($N$10="O",0.65,1)</f>
        <v>3333.7980000000007</v>
      </c>
      <c r="L40" s="85">
        <v>0</v>
      </c>
      <c r="M40" s="58">
        <f t="shared" si="15"/>
        <v>24616.677800000005</v>
      </c>
      <c r="N40" s="31" t="str">
        <f t="shared" si="8"/>
        <v>데이터(2.3GB) 부족</v>
      </c>
      <c r="O40" s="681"/>
      <c r="P40" s="263">
        <f t="shared" si="9"/>
        <v>2300</v>
      </c>
      <c r="Q40" s="426">
        <f t="shared" si="10"/>
        <v>4</v>
      </c>
      <c r="R40" s="263" t="str">
        <f>IF(B40=SMALL(B$39:B$43,1),B40,"")</f>
        <v/>
      </c>
      <c r="S40" s="263" t="str">
        <f t="shared" si="12"/>
        <v/>
      </c>
      <c r="T40" s="263" t="str">
        <f>IF(S40="","",IF(B40=SMALL(S$39:S$43,1),B40,""))</f>
        <v/>
      </c>
      <c r="U40" s="263">
        <f t="shared" si="17"/>
        <v>4</v>
      </c>
      <c r="W40" s="464">
        <f t="shared" si="13"/>
        <v>24616.677800000005</v>
      </c>
    </row>
    <row r="41" spans="1:23" ht="17.100000000000001" customHeight="1">
      <c r="A41" s="229">
        <v>7200</v>
      </c>
      <c r="B41" s="466">
        <f>IF(C41="O","",RANK(W41,W$24:W$83,1)+COUNTIF($W$24:W41,W41)-1)</f>
        <v>8</v>
      </c>
      <c r="C41" s="485"/>
      <c r="D41" s="232" t="s">
        <v>166</v>
      </c>
      <c r="E41" s="233">
        <v>38500</v>
      </c>
      <c r="F41" s="223">
        <v>100</v>
      </c>
      <c r="G41" s="224" t="s">
        <v>153</v>
      </c>
      <c r="H41" s="6">
        <v>1500</v>
      </c>
      <c r="I41" s="6">
        <f t="shared" si="6"/>
        <v>7200</v>
      </c>
      <c r="J41" s="28">
        <f t="shared" si="7"/>
        <v>22379.5</v>
      </c>
      <c r="K41" s="84">
        <f t="shared" si="20"/>
        <v>3333.7980000000007</v>
      </c>
      <c r="L41" s="85">
        <v>0</v>
      </c>
      <c r="M41" s="58">
        <f t="shared" si="15"/>
        <v>26046.677800000001</v>
      </c>
      <c r="N41" s="31" t="str">
        <f t="shared" si="8"/>
        <v>데이터(1.5GB) 부족</v>
      </c>
      <c r="O41" s="681"/>
      <c r="P41" s="263">
        <f t="shared" si="9"/>
        <v>1500</v>
      </c>
      <c r="Q41" s="426">
        <f t="shared" si="10"/>
        <v>8</v>
      </c>
      <c r="R41" s="263" t="str">
        <f>IF(B41=SMALL(B$39:B$43,1),B41,"")</f>
        <v/>
      </c>
      <c r="S41" s="263" t="str">
        <f t="shared" si="12"/>
        <v/>
      </c>
      <c r="T41" s="263" t="str">
        <f>IF(S41="","",IF(B41=SMALL(S$39:S$43,1),B41,""))</f>
        <v/>
      </c>
      <c r="U41" s="263">
        <f t="shared" si="17"/>
        <v>8</v>
      </c>
      <c r="W41" s="464">
        <f t="shared" si="13"/>
        <v>26046.677800000001</v>
      </c>
    </row>
    <row r="42" spans="1:23" ht="17.100000000000001" customHeight="1">
      <c r="A42" s="229">
        <v>7200</v>
      </c>
      <c r="B42" s="466">
        <f>IF(C42="O","",RANK(W42,W$24:W$83,1)+COUNTIF($W$24:W42,W42)-1)</f>
        <v>16</v>
      </c>
      <c r="C42" s="485"/>
      <c r="D42" s="232" t="s">
        <v>166</v>
      </c>
      <c r="E42" s="233">
        <v>43500</v>
      </c>
      <c r="F42" s="223">
        <v>100</v>
      </c>
      <c r="G42" s="224" t="s">
        <v>153</v>
      </c>
      <c r="H42" s="6">
        <v>3000</v>
      </c>
      <c r="I42" s="6">
        <f t="shared" si="6"/>
        <v>7200</v>
      </c>
      <c r="J42" s="28">
        <f t="shared" si="7"/>
        <v>25954.5</v>
      </c>
      <c r="K42" s="84">
        <f t="shared" si="20"/>
        <v>3333.7980000000007</v>
      </c>
      <c r="L42" s="85">
        <v>0</v>
      </c>
      <c r="M42" s="58">
        <f t="shared" si="15"/>
        <v>29621.677800000001</v>
      </c>
      <c r="N42" s="31" t="str">
        <f t="shared" si="8"/>
        <v/>
      </c>
      <c r="O42" s="681"/>
      <c r="P42" s="263">
        <f t="shared" si="9"/>
        <v>0</v>
      </c>
      <c r="Q42" s="426">
        <f t="shared" si="10"/>
        <v>16</v>
      </c>
      <c r="R42" s="263" t="str">
        <f>IF(B42=SMALL(B$39:B$43,1),B42,"")</f>
        <v/>
      </c>
      <c r="S42" s="263">
        <f t="shared" si="12"/>
        <v>16</v>
      </c>
      <c r="T42" s="263">
        <f>IF(S42="","",IF(B42=SMALL(S$39:S$43,1),B42,""))</f>
        <v>16</v>
      </c>
      <c r="U42" s="263">
        <f t="shared" si="17"/>
        <v>16</v>
      </c>
      <c r="W42" s="464">
        <f t="shared" si="13"/>
        <v>29621.677800000001</v>
      </c>
    </row>
    <row r="43" spans="1:23" ht="17.100000000000001" customHeight="1" thickBot="1">
      <c r="A43" s="229">
        <v>11250</v>
      </c>
      <c r="B43" s="466">
        <f>IF(C43="O","",RANK(W43,W$24:W$83,1)+COUNTIF($W$24:W43,W43)-1)</f>
        <v>25</v>
      </c>
      <c r="C43" s="499"/>
      <c r="D43" s="234" t="s">
        <v>166</v>
      </c>
      <c r="E43" s="235">
        <v>50500</v>
      </c>
      <c r="F43" s="226">
        <v>100</v>
      </c>
      <c r="G43" s="227" t="s">
        <v>153</v>
      </c>
      <c r="H43" s="8">
        <v>6000</v>
      </c>
      <c r="I43" s="8">
        <f t="shared" si="6"/>
        <v>11250</v>
      </c>
      <c r="J43" s="29">
        <f t="shared" si="7"/>
        <v>28063.75</v>
      </c>
      <c r="K43" s="86">
        <f t="shared" si="20"/>
        <v>3333.7980000000007</v>
      </c>
      <c r="L43" s="87">
        <v>0</v>
      </c>
      <c r="M43" s="59">
        <f t="shared" si="15"/>
        <v>31730.927800000001</v>
      </c>
      <c r="N43" s="32" t="str">
        <f t="shared" si="8"/>
        <v/>
      </c>
      <c r="O43" s="682"/>
      <c r="P43" s="263">
        <f t="shared" si="9"/>
        <v>-3000</v>
      </c>
      <c r="Q43" s="426">
        <f t="shared" si="10"/>
        <v>25</v>
      </c>
      <c r="R43" s="263" t="str">
        <f>IF(B43=SMALL(B$39:B$43,1),B43,"")</f>
        <v/>
      </c>
      <c r="S43" s="263">
        <f t="shared" si="12"/>
        <v>25</v>
      </c>
      <c r="T43" s="263" t="str">
        <f>IF(S43="","",IF(B43=SMALL(S$39:S$43,1),B43,""))</f>
        <v/>
      </c>
      <c r="U43" s="263">
        <f t="shared" si="17"/>
        <v>25</v>
      </c>
      <c r="W43" s="464">
        <f t="shared" si="13"/>
        <v>31730.927800000001</v>
      </c>
    </row>
    <row r="44" spans="1:23" ht="17.100000000000001" customHeight="1">
      <c r="A44" s="229">
        <v>7200</v>
      </c>
      <c r="B44" s="466">
        <f>IF(C44="O","",RANK(W44,W$24:W$83,1)+COUNTIF($W$24:W44,W44)-1)</f>
        <v>2</v>
      </c>
      <c r="C44" s="500"/>
      <c r="D44" s="230" t="s">
        <v>168</v>
      </c>
      <c r="E44" s="231">
        <v>38500</v>
      </c>
      <c r="F44" s="220">
        <v>150</v>
      </c>
      <c r="G44" s="221" t="s">
        <v>153</v>
      </c>
      <c r="H44" s="16">
        <v>250</v>
      </c>
      <c r="I44" s="16">
        <f t="shared" si="6"/>
        <v>7200</v>
      </c>
      <c r="J44" s="27">
        <f t="shared" si="7"/>
        <v>22379.5</v>
      </c>
      <c r="K44" s="82">
        <f>IF(F$8*(100-F$9)/100&lt;F44,0,((F$8*(100-F$9)/100)-F44)*60*1.8)*IF($N$10="O",0.65,1)</f>
        <v>0</v>
      </c>
      <c r="L44" s="83">
        <v>0</v>
      </c>
      <c r="M44" s="33">
        <f t="shared" si="15"/>
        <v>22379.5</v>
      </c>
      <c r="N44" s="30" t="str">
        <f t="shared" si="8"/>
        <v>데이터(2.75GB) 부족</v>
      </c>
      <c r="O44" s="680" t="s">
        <v>169</v>
      </c>
      <c r="P44" s="263">
        <f t="shared" si="9"/>
        <v>2750</v>
      </c>
      <c r="Q44" s="426">
        <f t="shared" si="10"/>
        <v>2</v>
      </c>
      <c r="R44" s="263">
        <f>IF(B44=SMALL(B$44:B$48,1),B44,"")</f>
        <v>2</v>
      </c>
      <c r="S44" s="263" t="str">
        <f t="shared" si="12"/>
        <v/>
      </c>
      <c r="T44" s="263" t="str">
        <f>IF(S44="","",IF(B44=SMALL(S$44:S$48,1),B44,""))</f>
        <v/>
      </c>
      <c r="U44" s="263">
        <f t="shared" si="17"/>
        <v>2</v>
      </c>
      <c r="W44" s="464">
        <f t="shared" si="13"/>
        <v>22379.5</v>
      </c>
    </row>
    <row r="45" spans="1:23" ht="17.100000000000001" customHeight="1">
      <c r="A45" s="229">
        <v>7200</v>
      </c>
      <c r="B45" s="466">
        <f>IF(C45="O","",RANK(W45,W$24:W$83,1)+COUNTIF($W$24:W45,W45)-1)</f>
        <v>7</v>
      </c>
      <c r="C45" s="485"/>
      <c r="D45" s="232" t="s">
        <v>168</v>
      </c>
      <c r="E45" s="233">
        <v>43000</v>
      </c>
      <c r="F45" s="223">
        <v>150</v>
      </c>
      <c r="G45" s="224" t="s">
        <v>153</v>
      </c>
      <c r="H45" s="6">
        <v>700</v>
      </c>
      <c r="I45" s="6">
        <f t="shared" si="6"/>
        <v>7200</v>
      </c>
      <c r="J45" s="28">
        <f t="shared" si="7"/>
        <v>25597</v>
      </c>
      <c r="K45" s="84">
        <f t="shared" ref="K45:K48" si="21">IF(F$8*(100-F$9)/100&lt;F45,0,((F$8*(100-F$9)/100)-F45)*60*1.8)*IF($N$10="O",0.65,1)</f>
        <v>0</v>
      </c>
      <c r="L45" s="85">
        <v>0</v>
      </c>
      <c r="M45" s="58">
        <f t="shared" si="15"/>
        <v>25597</v>
      </c>
      <c r="N45" s="31" t="str">
        <f t="shared" si="8"/>
        <v>데이터(2.3GB) 부족</v>
      </c>
      <c r="O45" s="681"/>
      <c r="P45" s="263">
        <f t="shared" si="9"/>
        <v>2300</v>
      </c>
      <c r="Q45" s="426">
        <f t="shared" si="10"/>
        <v>7</v>
      </c>
      <c r="R45" s="263" t="str">
        <f>IF(B45=SMALL(B$44:B$48,1),B45,"")</f>
        <v/>
      </c>
      <c r="S45" s="263" t="str">
        <f t="shared" si="12"/>
        <v/>
      </c>
      <c r="T45" s="263" t="str">
        <f>IF(S45="","",IF(B45=SMALL(S$44:S$48,1),B45,""))</f>
        <v/>
      </c>
      <c r="U45" s="263">
        <f t="shared" si="17"/>
        <v>7</v>
      </c>
      <c r="W45" s="464">
        <f t="shared" si="13"/>
        <v>25597</v>
      </c>
    </row>
    <row r="46" spans="1:23" ht="17.100000000000001" customHeight="1">
      <c r="A46" s="229">
        <v>7200</v>
      </c>
      <c r="B46" s="466">
        <f>IF(C46="O","",RANK(W46,W$24:W$83,1)+COUNTIF($W$24:W46,W46)-1)</f>
        <v>10</v>
      </c>
      <c r="C46" s="485"/>
      <c r="D46" s="232" t="s">
        <v>168</v>
      </c>
      <c r="E46" s="233">
        <v>44500</v>
      </c>
      <c r="F46" s="223">
        <v>150</v>
      </c>
      <c r="G46" s="224" t="s">
        <v>153</v>
      </c>
      <c r="H46" s="6">
        <v>1500</v>
      </c>
      <c r="I46" s="6">
        <f t="shared" si="6"/>
        <v>7200</v>
      </c>
      <c r="J46" s="28">
        <f t="shared" si="7"/>
        <v>26669.5</v>
      </c>
      <c r="K46" s="84">
        <f t="shared" si="21"/>
        <v>0</v>
      </c>
      <c r="L46" s="85">
        <v>0</v>
      </c>
      <c r="M46" s="58">
        <f t="shared" si="15"/>
        <v>26669.5</v>
      </c>
      <c r="N46" s="31" t="str">
        <f t="shared" si="8"/>
        <v>데이터(1.5GB) 부족</v>
      </c>
      <c r="O46" s="681"/>
      <c r="P46" s="263">
        <f t="shared" si="9"/>
        <v>1500</v>
      </c>
      <c r="Q46" s="426">
        <f t="shared" si="10"/>
        <v>10</v>
      </c>
      <c r="R46" s="263" t="str">
        <f>IF(B46=SMALL(B$44:B$48,1),B46,"")</f>
        <v/>
      </c>
      <c r="S46" s="263" t="str">
        <f t="shared" si="12"/>
        <v/>
      </c>
      <c r="T46" s="263" t="str">
        <f>IF(S46="","",IF(B46=SMALL(S$44:S$48,1),B46,""))</f>
        <v/>
      </c>
      <c r="U46" s="263">
        <f t="shared" si="17"/>
        <v>10</v>
      </c>
      <c r="W46" s="464">
        <f t="shared" si="13"/>
        <v>26669.5</v>
      </c>
    </row>
    <row r="47" spans="1:23" ht="17.100000000000001" customHeight="1">
      <c r="A47" s="229">
        <v>11250</v>
      </c>
      <c r="B47" s="466">
        <f>IF(C47="O","",RANK(W47,W$24:W$83,1)+COUNTIF($W$24:W47,W47)-1)</f>
        <v>11</v>
      </c>
      <c r="C47" s="485"/>
      <c r="D47" s="232" t="s">
        <v>168</v>
      </c>
      <c r="E47" s="233">
        <v>49500</v>
      </c>
      <c r="F47" s="223">
        <v>150</v>
      </c>
      <c r="G47" s="224" t="s">
        <v>153</v>
      </c>
      <c r="H47" s="6">
        <v>3000</v>
      </c>
      <c r="I47" s="6">
        <f t="shared" si="6"/>
        <v>11250</v>
      </c>
      <c r="J47" s="28">
        <f t="shared" si="7"/>
        <v>27348.75</v>
      </c>
      <c r="K47" s="84">
        <f t="shared" si="21"/>
        <v>0</v>
      </c>
      <c r="L47" s="85">
        <v>0</v>
      </c>
      <c r="M47" s="58">
        <f t="shared" si="15"/>
        <v>27348.75</v>
      </c>
      <c r="N47" s="31" t="str">
        <f t="shared" si="8"/>
        <v/>
      </c>
      <c r="O47" s="681"/>
      <c r="P47" s="263">
        <f t="shared" si="9"/>
        <v>0</v>
      </c>
      <c r="Q47" s="426">
        <f t="shared" si="10"/>
        <v>11</v>
      </c>
      <c r="R47" s="263" t="str">
        <f>IF(B47=SMALL(B$44:B$48,1),B47,"")</f>
        <v/>
      </c>
      <c r="S47" s="263">
        <f t="shared" si="12"/>
        <v>11</v>
      </c>
      <c r="T47" s="263">
        <f>IF(S47="","",IF(B47=SMALL(S$44:S$48,1),B47,""))</f>
        <v>11</v>
      </c>
      <c r="U47" s="263">
        <f t="shared" si="17"/>
        <v>11</v>
      </c>
      <c r="W47" s="464">
        <f t="shared" si="13"/>
        <v>27348.75</v>
      </c>
    </row>
    <row r="48" spans="1:23" ht="17.100000000000001" customHeight="1" thickBot="1">
      <c r="A48" s="229">
        <v>11250</v>
      </c>
      <c r="B48" s="466">
        <f>IF(C48="O","",RANK(W48,W$24:W$83,1)+COUNTIF($W$24:W48,W48)-1)</f>
        <v>18</v>
      </c>
      <c r="C48" s="501"/>
      <c r="D48" s="236" t="s">
        <v>168</v>
      </c>
      <c r="E48" s="235">
        <v>54500</v>
      </c>
      <c r="F48" s="226">
        <v>150</v>
      </c>
      <c r="G48" s="227" t="s">
        <v>153</v>
      </c>
      <c r="H48" s="8">
        <v>6000</v>
      </c>
      <c r="I48" s="8">
        <f t="shared" si="6"/>
        <v>11250</v>
      </c>
      <c r="J48" s="29">
        <f t="shared" si="7"/>
        <v>30923.750000000007</v>
      </c>
      <c r="K48" s="86">
        <f t="shared" si="21"/>
        <v>0</v>
      </c>
      <c r="L48" s="87">
        <v>0</v>
      </c>
      <c r="M48" s="59">
        <f t="shared" si="15"/>
        <v>30923.750000000007</v>
      </c>
      <c r="N48" s="32" t="str">
        <f t="shared" si="8"/>
        <v/>
      </c>
      <c r="O48" s="682"/>
      <c r="P48" s="263">
        <f t="shared" si="9"/>
        <v>-3000</v>
      </c>
      <c r="Q48" s="426">
        <f t="shared" si="10"/>
        <v>18</v>
      </c>
      <c r="R48" s="263" t="str">
        <f>IF(B48=SMALL(B$44:B$48,1),B48,"")</f>
        <v/>
      </c>
      <c r="S48" s="263">
        <f t="shared" si="12"/>
        <v>18</v>
      </c>
      <c r="T48" s="263" t="str">
        <f>IF(S48="","",IF(B48=SMALL(S$44:S$48,1),B48,""))</f>
        <v/>
      </c>
      <c r="U48" s="263">
        <f t="shared" si="17"/>
        <v>18</v>
      </c>
      <c r="W48" s="464">
        <f t="shared" si="13"/>
        <v>30923.750000000007</v>
      </c>
    </row>
    <row r="49" spans="1:23" ht="17.100000000000001" customHeight="1">
      <c r="A49" s="229">
        <v>11250</v>
      </c>
      <c r="B49" s="466">
        <f>IF(C49="O","",RANK(W49,W$24:W$83,1)+COUNTIF($W$24:W49,W49)-1)</f>
        <v>3</v>
      </c>
      <c r="C49" s="498"/>
      <c r="D49" s="230" t="s">
        <v>170</v>
      </c>
      <c r="E49" s="231">
        <v>45500</v>
      </c>
      <c r="F49" s="220">
        <v>200</v>
      </c>
      <c r="G49" s="221" t="s">
        <v>153</v>
      </c>
      <c r="H49" s="16">
        <v>250</v>
      </c>
      <c r="I49" s="16">
        <f t="shared" si="6"/>
        <v>11250</v>
      </c>
      <c r="J49" s="27">
        <f t="shared" si="7"/>
        <v>24488.75</v>
      </c>
      <c r="K49" s="82">
        <f>IF(F$8*(100-F$9)/100&lt;F49,0,((F$8*(100-F$9)/100)-F49)*60*1.8)*IF($N$10="O",0.65,1)</f>
        <v>0</v>
      </c>
      <c r="L49" s="83">
        <v>0</v>
      </c>
      <c r="M49" s="33">
        <f t="shared" si="15"/>
        <v>24488.75</v>
      </c>
      <c r="N49" s="30" t="str">
        <f t="shared" si="8"/>
        <v>데이터(2.75GB) 부족</v>
      </c>
      <c r="O49" s="680" t="s">
        <v>171</v>
      </c>
      <c r="P49" s="263">
        <f t="shared" si="9"/>
        <v>2750</v>
      </c>
      <c r="Q49" s="426">
        <f t="shared" si="10"/>
        <v>3</v>
      </c>
      <c r="R49" s="263">
        <f>IF(B49=SMALL(B$49:B$53,1),B49,"")</f>
        <v>3</v>
      </c>
      <c r="S49" s="263" t="str">
        <f t="shared" si="12"/>
        <v/>
      </c>
      <c r="T49" s="263" t="str">
        <f>IF(S49="","",IF(B49=SMALL(S$49:S$53,1),B49,""))</f>
        <v/>
      </c>
      <c r="U49" s="263">
        <f t="shared" si="17"/>
        <v>3</v>
      </c>
      <c r="W49" s="464">
        <f t="shared" si="13"/>
        <v>24488.75</v>
      </c>
    </row>
    <row r="50" spans="1:23" ht="17.100000000000001" customHeight="1">
      <c r="A50" s="229">
        <v>11250</v>
      </c>
      <c r="B50" s="466">
        <f>IF(C50="O","",RANK(W50,W$24:W$83,1)+COUNTIF($W$24:W50,W50)-1)</f>
        <v>12</v>
      </c>
      <c r="C50" s="485"/>
      <c r="D50" s="232" t="s">
        <v>170</v>
      </c>
      <c r="E50" s="233">
        <v>49500</v>
      </c>
      <c r="F50" s="223">
        <v>200</v>
      </c>
      <c r="G50" s="224" t="s">
        <v>153</v>
      </c>
      <c r="H50" s="6">
        <v>700</v>
      </c>
      <c r="I50" s="6">
        <f t="shared" si="6"/>
        <v>11250</v>
      </c>
      <c r="J50" s="28">
        <f t="shared" si="7"/>
        <v>27348.75</v>
      </c>
      <c r="K50" s="84">
        <f t="shared" ref="K50:K53" si="22">IF(F$8*(100-F$9)/100&lt;F50,0,((F$8*(100-F$9)/100)-F50)*60*1.8)*IF($N$10="O",0.65,1)</f>
        <v>0</v>
      </c>
      <c r="L50" s="85">
        <v>0</v>
      </c>
      <c r="M50" s="58">
        <f t="shared" si="15"/>
        <v>27348.75</v>
      </c>
      <c r="N50" s="31" t="str">
        <f t="shared" si="8"/>
        <v>데이터(2.3GB) 부족</v>
      </c>
      <c r="O50" s="681"/>
      <c r="P50" s="263">
        <f t="shared" si="9"/>
        <v>2300</v>
      </c>
      <c r="Q50" s="426">
        <f t="shared" si="10"/>
        <v>12</v>
      </c>
      <c r="R50" s="263" t="str">
        <f>IF(B50=SMALL(B$49:B$53,1),B50,"")</f>
        <v/>
      </c>
      <c r="S50" s="263" t="str">
        <f t="shared" si="12"/>
        <v/>
      </c>
      <c r="T50" s="263" t="str">
        <f>IF(S50="","",IF(B50=SMALL(S$49:S$53,1),B50,""))</f>
        <v/>
      </c>
      <c r="U50" s="263">
        <f t="shared" si="17"/>
        <v>12</v>
      </c>
      <c r="W50" s="464">
        <f t="shared" si="13"/>
        <v>27348.75</v>
      </c>
    </row>
    <row r="51" spans="1:23" ht="17.100000000000001" customHeight="1">
      <c r="A51" s="229">
        <v>11250</v>
      </c>
      <c r="B51" s="466">
        <f>IF(C51="O","",RANK(W51,W$24:W$83,1)+COUNTIF($W$24:W51,W51)-1)</f>
        <v>13</v>
      </c>
      <c r="C51" s="485"/>
      <c r="D51" s="232" t="s">
        <v>170</v>
      </c>
      <c r="E51" s="233">
        <v>50500</v>
      </c>
      <c r="F51" s="223">
        <v>200</v>
      </c>
      <c r="G51" s="224" t="s">
        <v>153</v>
      </c>
      <c r="H51" s="6">
        <v>1500</v>
      </c>
      <c r="I51" s="6">
        <f t="shared" si="6"/>
        <v>11250</v>
      </c>
      <c r="J51" s="28">
        <f t="shared" si="7"/>
        <v>28063.75</v>
      </c>
      <c r="K51" s="84">
        <f t="shared" si="22"/>
        <v>0</v>
      </c>
      <c r="L51" s="85">
        <v>0</v>
      </c>
      <c r="M51" s="58">
        <f t="shared" si="15"/>
        <v>28063.75</v>
      </c>
      <c r="N51" s="31" t="str">
        <f t="shared" si="8"/>
        <v>데이터(1.5GB) 부족</v>
      </c>
      <c r="O51" s="681"/>
      <c r="P51" s="263">
        <f t="shared" si="9"/>
        <v>1500</v>
      </c>
      <c r="Q51" s="426">
        <f t="shared" si="10"/>
        <v>13</v>
      </c>
      <c r="R51" s="263" t="str">
        <f>IF(B51=SMALL(B$49:B$53,1),B51,"")</f>
        <v/>
      </c>
      <c r="S51" s="263" t="str">
        <f t="shared" si="12"/>
        <v/>
      </c>
      <c r="T51" s="263" t="str">
        <f>IF(S51="","",IF(B51=SMALL(S$49:S$53,1),B51,""))</f>
        <v/>
      </c>
      <c r="U51" s="263">
        <f t="shared" si="17"/>
        <v>13</v>
      </c>
      <c r="W51" s="464">
        <f t="shared" si="13"/>
        <v>28063.75</v>
      </c>
    </row>
    <row r="52" spans="1:23" ht="17.100000000000001" customHeight="1">
      <c r="A52" s="229">
        <v>11250</v>
      </c>
      <c r="B52" s="466">
        <f>IF(C52="O","",RANK(W52,W$24:W$83,1)+COUNTIF($W$24:W52,W52)-1)</f>
        <v>19</v>
      </c>
      <c r="C52" s="485"/>
      <c r="D52" s="232" t="s">
        <v>170</v>
      </c>
      <c r="E52" s="233">
        <v>54500</v>
      </c>
      <c r="F52" s="223">
        <v>200</v>
      </c>
      <c r="G52" s="224" t="s">
        <v>153</v>
      </c>
      <c r="H52" s="6">
        <v>3000</v>
      </c>
      <c r="I52" s="6">
        <f t="shared" si="6"/>
        <v>11250</v>
      </c>
      <c r="J52" s="28">
        <f t="shared" si="7"/>
        <v>30923.750000000007</v>
      </c>
      <c r="K52" s="84">
        <f t="shared" si="22"/>
        <v>0</v>
      </c>
      <c r="L52" s="85">
        <v>0</v>
      </c>
      <c r="M52" s="58">
        <f t="shared" si="15"/>
        <v>30923.750000000007</v>
      </c>
      <c r="N52" s="31" t="str">
        <f t="shared" si="8"/>
        <v/>
      </c>
      <c r="O52" s="681"/>
      <c r="P52" s="263">
        <f t="shared" si="9"/>
        <v>0</v>
      </c>
      <c r="Q52" s="426">
        <f t="shared" si="10"/>
        <v>19</v>
      </c>
      <c r="R52" s="263" t="str">
        <f>IF(B52=SMALL(B$49:B$53,1),B52,"")</f>
        <v/>
      </c>
      <c r="S52" s="263">
        <f t="shared" si="12"/>
        <v>19</v>
      </c>
      <c r="T52" s="263">
        <f>IF(S52="","",IF(B52=SMALL(S$49:S$53,1),B52,""))</f>
        <v>19</v>
      </c>
      <c r="U52" s="263">
        <f t="shared" si="17"/>
        <v>19</v>
      </c>
      <c r="W52" s="464">
        <f t="shared" si="13"/>
        <v>30923.750000000007</v>
      </c>
    </row>
    <row r="53" spans="1:23" ht="17.100000000000001" customHeight="1" thickBot="1">
      <c r="A53" s="229">
        <v>14250</v>
      </c>
      <c r="B53" s="466">
        <f>IF(C53="O","",RANK(W53,W$24:W$83,1)+COUNTIF($W$24:W53,W53)-1)</f>
        <v>28</v>
      </c>
      <c r="C53" s="499"/>
      <c r="D53" s="236" t="s">
        <v>170</v>
      </c>
      <c r="E53" s="235">
        <v>59500</v>
      </c>
      <c r="F53" s="226">
        <v>200</v>
      </c>
      <c r="G53" s="227" t="s">
        <v>153</v>
      </c>
      <c r="H53" s="8">
        <v>6000</v>
      </c>
      <c r="I53" s="8">
        <f t="shared" si="6"/>
        <v>14250</v>
      </c>
      <c r="J53" s="29">
        <f t="shared" si="7"/>
        <v>32353.750000000007</v>
      </c>
      <c r="K53" s="86">
        <f t="shared" si="22"/>
        <v>0</v>
      </c>
      <c r="L53" s="87">
        <v>0</v>
      </c>
      <c r="M53" s="59">
        <f t="shared" si="15"/>
        <v>32353.750000000007</v>
      </c>
      <c r="N53" s="32" t="str">
        <f t="shared" si="8"/>
        <v/>
      </c>
      <c r="O53" s="682"/>
      <c r="P53" s="263">
        <f t="shared" si="9"/>
        <v>-3000</v>
      </c>
      <c r="Q53" s="426">
        <f t="shared" si="10"/>
        <v>28</v>
      </c>
      <c r="R53" s="263" t="str">
        <f>IF(B53=SMALL(B$49:B$53,1),B53,"")</f>
        <v/>
      </c>
      <c r="S53" s="263">
        <f t="shared" si="12"/>
        <v>28</v>
      </c>
      <c r="T53" s="263" t="str">
        <f>IF(S53="","",IF(B53=SMALL(S$49:S$53,1),B53,""))</f>
        <v/>
      </c>
      <c r="U53" s="263">
        <f t="shared" si="17"/>
        <v>28</v>
      </c>
      <c r="W53" s="464">
        <f t="shared" si="13"/>
        <v>32353.750000000007</v>
      </c>
    </row>
    <row r="54" spans="1:23" ht="17.100000000000001" customHeight="1">
      <c r="A54" s="229">
        <v>14250</v>
      </c>
      <c r="B54" s="466">
        <f>IF(C54="O","",RANK(W54,W$24:W$83,1)+COUNTIF($W$24:W54,W54)-1)</f>
        <v>20</v>
      </c>
      <c r="C54" s="500"/>
      <c r="D54" s="237" t="s">
        <v>172</v>
      </c>
      <c r="E54" s="231">
        <v>57500</v>
      </c>
      <c r="F54" s="238" t="s">
        <v>158</v>
      </c>
      <c r="G54" s="221" t="s">
        <v>153</v>
      </c>
      <c r="H54" s="16">
        <v>250</v>
      </c>
      <c r="I54" s="16">
        <f t="shared" si="6"/>
        <v>14250</v>
      </c>
      <c r="J54" s="27">
        <f t="shared" si="7"/>
        <v>30923.750000000007</v>
      </c>
      <c r="K54" s="82">
        <f>IF(OR($F$8="",$F$8&lt;$F54),0,($F$8-F54)*60*1.8)*IF($N$10="O",0.65,1)</f>
        <v>0</v>
      </c>
      <c r="L54" s="83">
        <v>0</v>
      </c>
      <c r="M54" s="33">
        <f t="shared" si="15"/>
        <v>30923.750000000007</v>
      </c>
      <c r="N54" s="30" t="str">
        <f t="shared" si="8"/>
        <v>데이터(2.75GB) 부족</v>
      </c>
      <c r="O54" s="680" t="s">
        <v>173</v>
      </c>
      <c r="P54" s="263">
        <f t="shared" si="9"/>
        <v>2750</v>
      </c>
      <c r="Q54" s="426">
        <f t="shared" si="10"/>
        <v>20</v>
      </c>
      <c r="R54" s="263">
        <f>IF(B54=SMALL(B$54:B$58,1),B54,"")</f>
        <v>20</v>
      </c>
      <c r="S54" s="263" t="str">
        <f t="shared" si="12"/>
        <v/>
      </c>
      <c r="T54" s="263" t="str">
        <f>IF(S54="","",IF(B54=SMALL(S$54:S$58,1),B54,""))</f>
        <v/>
      </c>
      <c r="U54" s="263">
        <f t="shared" si="17"/>
        <v>20</v>
      </c>
      <c r="W54" s="464">
        <f t="shared" si="13"/>
        <v>30923.750000000007</v>
      </c>
    </row>
    <row r="55" spans="1:23" ht="17.100000000000001" customHeight="1">
      <c r="A55" s="229">
        <v>14250</v>
      </c>
      <c r="B55" s="466">
        <f>IF(C55="O","",RANK(W55,W$24:W$83,1)+COUNTIF($W$24:W55,W55)-1)</f>
        <v>33</v>
      </c>
      <c r="C55" s="485"/>
      <c r="D55" s="232" t="s">
        <v>172</v>
      </c>
      <c r="E55" s="233">
        <v>61500</v>
      </c>
      <c r="F55" s="216" t="s">
        <v>158</v>
      </c>
      <c r="G55" s="224" t="s">
        <v>153</v>
      </c>
      <c r="H55" s="6">
        <v>700</v>
      </c>
      <c r="I55" s="6">
        <f t="shared" si="6"/>
        <v>14250</v>
      </c>
      <c r="J55" s="28">
        <f t="shared" si="7"/>
        <v>33783.750000000007</v>
      </c>
      <c r="K55" s="84">
        <f t="shared" ref="K55:K58" si="23">IF(OR($F$8="",$F$8&lt;$F55),0,($F$8-F55)*60*1.8)*IF($N$10="O",0.65,1)</f>
        <v>0</v>
      </c>
      <c r="L55" s="85">
        <v>0</v>
      </c>
      <c r="M55" s="58">
        <f t="shared" si="15"/>
        <v>33783.750000000007</v>
      </c>
      <c r="N55" s="31" t="str">
        <f t="shared" si="8"/>
        <v>데이터(2.3GB) 부족</v>
      </c>
      <c r="O55" s="681"/>
      <c r="P55" s="263">
        <f t="shared" si="9"/>
        <v>2300</v>
      </c>
      <c r="Q55" s="426">
        <f t="shared" si="10"/>
        <v>33</v>
      </c>
      <c r="R55" s="263" t="str">
        <f>IF(B55=SMALL(B$54:B$58,1),B55,"")</f>
        <v/>
      </c>
      <c r="S55" s="263" t="str">
        <f t="shared" si="12"/>
        <v/>
      </c>
      <c r="T55" s="263" t="str">
        <f>IF(S55="","",IF(B55=SMALL(S$54:S$58,1),B55,""))</f>
        <v/>
      </c>
      <c r="U55" s="263">
        <f t="shared" si="17"/>
        <v>33</v>
      </c>
      <c r="W55" s="464">
        <f t="shared" si="13"/>
        <v>33783.750000000007</v>
      </c>
    </row>
    <row r="56" spans="1:23" ht="17.100000000000001" customHeight="1">
      <c r="A56" s="229">
        <v>14250</v>
      </c>
      <c r="B56" s="466">
        <f>IF(C56="O","",RANK(W56,W$24:W$83,1)+COUNTIF($W$24:W56,W56)-1)</f>
        <v>37</v>
      </c>
      <c r="C56" s="485"/>
      <c r="D56" s="232" t="s">
        <v>172</v>
      </c>
      <c r="E56" s="233">
        <v>62500</v>
      </c>
      <c r="F56" s="216" t="s">
        <v>158</v>
      </c>
      <c r="G56" s="224" t="s">
        <v>153</v>
      </c>
      <c r="H56" s="6">
        <v>1500</v>
      </c>
      <c r="I56" s="6">
        <f t="shared" ref="I56:I83" si="24">IF($N$8&lt;60,E56*$N$8/100,A56)</f>
        <v>14250</v>
      </c>
      <c r="J56" s="28">
        <f t="shared" si="7"/>
        <v>34498.750000000007</v>
      </c>
      <c r="K56" s="84">
        <f t="shared" si="23"/>
        <v>0</v>
      </c>
      <c r="L56" s="85">
        <v>0</v>
      </c>
      <c r="M56" s="58">
        <f t="shared" si="15"/>
        <v>34498.750000000007</v>
      </c>
      <c r="N56" s="31" t="str">
        <f t="shared" si="8"/>
        <v>데이터(1.5GB) 부족</v>
      </c>
      <c r="O56" s="681"/>
      <c r="P56" s="263">
        <f t="shared" si="9"/>
        <v>1500</v>
      </c>
      <c r="Q56" s="426">
        <f t="shared" ref="Q56:Q83" si="25">B56</f>
        <v>37</v>
      </c>
      <c r="R56" s="263" t="str">
        <f>IF(B56=SMALL(B$54:B$58,1),B56,"")</f>
        <v/>
      </c>
      <c r="S56" s="263" t="str">
        <f t="shared" ref="S56:S83" si="26">IF($F$11&lt;=H56,B56,"")</f>
        <v/>
      </c>
      <c r="T56" s="263" t="str">
        <f>IF(S56="","",IF(B56=SMALL(S$54:S$58,1),B56,""))</f>
        <v/>
      </c>
      <c r="U56" s="263">
        <f t="shared" si="17"/>
        <v>37</v>
      </c>
      <c r="W56" s="464">
        <f t="shared" ref="W56:W83" si="27">IF(C56="O","",M56)</f>
        <v>34498.750000000007</v>
      </c>
    </row>
    <row r="57" spans="1:23" ht="17.100000000000001" customHeight="1">
      <c r="A57" s="229">
        <v>14250</v>
      </c>
      <c r="B57" s="466">
        <f>IF(C57="O","",RANK(W57,W$24:W$83,1)+COUNTIF($W$24:W57,W57)-1)</f>
        <v>39</v>
      </c>
      <c r="C57" s="485"/>
      <c r="D57" s="232" t="s">
        <v>172</v>
      </c>
      <c r="E57" s="233">
        <v>64500</v>
      </c>
      <c r="F57" s="216" t="s">
        <v>158</v>
      </c>
      <c r="G57" s="224" t="s">
        <v>153</v>
      </c>
      <c r="H57" s="6">
        <v>3000</v>
      </c>
      <c r="I57" s="6">
        <f t="shared" si="24"/>
        <v>14250</v>
      </c>
      <c r="J57" s="28">
        <f t="shared" si="7"/>
        <v>35928.750000000007</v>
      </c>
      <c r="K57" s="84">
        <f t="shared" si="23"/>
        <v>0</v>
      </c>
      <c r="L57" s="85">
        <v>0</v>
      </c>
      <c r="M57" s="58">
        <f t="shared" si="15"/>
        <v>35928.750000000007</v>
      </c>
      <c r="N57" s="31" t="str">
        <f t="shared" si="8"/>
        <v/>
      </c>
      <c r="O57" s="681"/>
      <c r="P57" s="263">
        <f t="shared" si="9"/>
        <v>0</v>
      </c>
      <c r="Q57" s="426">
        <f t="shared" si="25"/>
        <v>39</v>
      </c>
      <c r="R57" s="263" t="str">
        <f>IF(B57=SMALL(B$54:B$58,1),B57,"")</f>
        <v/>
      </c>
      <c r="S57" s="263">
        <f t="shared" si="26"/>
        <v>39</v>
      </c>
      <c r="T57" s="263">
        <f>IF(S57="","",IF(B57=SMALL(S$54:S$58,1),B57,""))</f>
        <v>39</v>
      </c>
      <c r="U57" s="263">
        <f t="shared" si="17"/>
        <v>39</v>
      </c>
      <c r="W57" s="464">
        <f t="shared" si="27"/>
        <v>35928.750000000007</v>
      </c>
    </row>
    <row r="58" spans="1:23" ht="17.100000000000001" customHeight="1" thickBot="1">
      <c r="A58" s="229">
        <v>16750</v>
      </c>
      <c r="B58" s="466">
        <f>IF(C58="O","",RANK(W58,W$24:W$83,1)+COUNTIF($W$24:W58,W58)-1)</f>
        <v>46</v>
      </c>
      <c r="C58" s="501"/>
      <c r="D58" s="236" t="s">
        <v>172</v>
      </c>
      <c r="E58" s="235">
        <v>70500</v>
      </c>
      <c r="F58" s="217" t="s">
        <v>158</v>
      </c>
      <c r="G58" s="227" t="s">
        <v>153</v>
      </c>
      <c r="H58" s="8">
        <v>6000</v>
      </c>
      <c r="I58" s="8">
        <f t="shared" si="24"/>
        <v>16750</v>
      </c>
      <c r="J58" s="29">
        <f t="shared" si="7"/>
        <v>38431.250000000007</v>
      </c>
      <c r="K58" s="86">
        <f t="shared" si="23"/>
        <v>0</v>
      </c>
      <c r="L58" s="87">
        <v>0</v>
      </c>
      <c r="M58" s="59">
        <f t="shared" si="15"/>
        <v>38431.250000000007</v>
      </c>
      <c r="N58" s="32" t="str">
        <f t="shared" si="8"/>
        <v/>
      </c>
      <c r="O58" s="682"/>
      <c r="P58" s="263">
        <f t="shared" si="9"/>
        <v>-3000</v>
      </c>
      <c r="Q58" s="426">
        <f t="shared" si="25"/>
        <v>46</v>
      </c>
      <c r="R58" s="263" t="str">
        <f>IF(B58=SMALL(B$54:B$58,1),B58,"")</f>
        <v/>
      </c>
      <c r="S58" s="263">
        <f t="shared" si="26"/>
        <v>46</v>
      </c>
      <c r="T58" s="263" t="str">
        <f>IF(S58="","",IF(B58=SMALL(S$54:S$58,1),B58,""))</f>
        <v/>
      </c>
      <c r="U58" s="263">
        <f t="shared" si="17"/>
        <v>46</v>
      </c>
      <c r="W58" s="464">
        <f t="shared" si="27"/>
        <v>38431.250000000007</v>
      </c>
    </row>
    <row r="59" spans="1:23" ht="17.100000000000001" customHeight="1">
      <c r="A59" s="229">
        <v>16750</v>
      </c>
      <c r="B59" s="466">
        <f>IF(C59="O","",RANK(W59,W$24:W$83,1)+COUNTIF($W$24:W59,W59)-1)</f>
        <v>43</v>
      </c>
      <c r="C59" s="498"/>
      <c r="D59" s="230" t="s">
        <v>174</v>
      </c>
      <c r="E59" s="231">
        <v>68500</v>
      </c>
      <c r="F59" s="238" t="s">
        <v>159</v>
      </c>
      <c r="G59" s="221" t="s">
        <v>153</v>
      </c>
      <c r="H59" s="16">
        <v>250</v>
      </c>
      <c r="I59" s="16">
        <f t="shared" si="24"/>
        <v>16750</v>
      </c>
      <c r="J59" s="27">
        <f t="shared" si="7"/>
        <v>37001.250000000007</v>
      </c>
      <c r="K59" s="82">
        <f>IF(OR($F$8="",$F$8&lt;$F59),0,($F$8-F59)*60*1.8)*IF($N$10="O",0.65,1)</f>
        <v>0</v>
      </c>
      <c r="L59" s="83">
        <v>0</v>
      </c>
      <c r="M59" s="33">
        <f t="shared" si="15"/>
        <v>37001.250000000007</v>
      </c>
      <c r="N59" s="30" t="str">
        <f t="shared" si="8"/>
        <v>데이터(2.75GB) 부족</v>
      </c>
      <c r="O59" s="680" t="s">
        <v>175</v>
      </c>
      <c r="P59" s="263">
        <f t="shared" si="9"/>
        <v>2750</v>
      </c>
      <c r="Q59" s="426">
        <f t="shared" si="25"/>
        <v>43</v>
      </c>
      <c r="R59" s="263">
        <f>IF(B59=SMALL(B$59:B$63,1),B59,"")</f>
        <v>43</v>
      </c>
      <c r="S59" s="263" t="str">
        <f t="shared" si="26"/>
        <v/>
      </c>
      <c r="T59" s="263" t="str">
        <f>IF(S59="","",IF(B59=SMALL(S$59:S$63,1),B59,""))</f>
        <v/>
      </c>
      <c r="U59" s="263">
        <f t="shared" si="17"/>
        <v>43</v>
      </c>
      <c r="W59" s="464">
        <f t="shared" si="27"/>
        <v>37001.250000000007</v>
      </c>
    </row>
    <row r="60" spans="1:23" ht="17.100000000000001" customHeight="1">
      <c r="A60" s="229">
        <v>16750</v>
      </c>
      <c r="B60" s="466">
        <f>IF(C60="O","",RANK(W60,W$24:W$83,1)+COUNTIF($W$24:W60,W60)-1)</f>
        <v>49</v>
      </c>
      <c r="C60" s="485"/>
      <c r="D60" s="232" t="s">
        <v>174</v>
      </c>
      <c r="E60" s="233">
        <v>72000</v>
      </c>
      <c r="F60" s="216" t="s">
        <v>159</v>
      </c>
      <c r="G60" s="224" t="s">
        <v>153</v>
      </c>
      <c r="H60" s="6">
        <v>700</v>
      </c>
      <c r="I60" s="6">
        <f t="shared" si="24"/>
        <v>16750</v>
      </c>
      <c r="J60" s="28">
        <f t="shared" si="7"/>
        <v>39503.750000000007</v>
      </c>
      <c r="K60" s="84">
        <f t="shared" ref="K60:K63" si="28">IF(OR($F$8="",$F$8&lt;$F60),0,($F$8-F60)*60*1.8)*IF($N$10="O",0.65,1)</f>
        <v>0</v>
      </c>
      <c r="L60" s="85">
        <v>0</v>
      </c>
      <c r="M60" s="58">
        <f t="shared" si="15"/>
        <v>39503.750000000007</v>
      </c>
      <c r="N60" s="31" t="str">
        <f t="shared" si="8"/>
        <v>데이터(2.3GB) 부족</v>
      </c>
      <c r="O60" s="681"/>
      <c r="P60" s="263">
        <f t="shared" si="9"/>
        <v>2300</v>
      </c>
      <c r="Q60" s="426">
        <f t="shared" si="25"/>
        <v>49</v>
      </c>
      <c r="R60" s="263" t="str">
        <f>IF(B60=SMALL(B$59:B$63,1),B60,"")</f>
        <v/>
      </c>
      <c r="S60" s="263" t="str">
        <f t="shared" si="26"/>
        <v/>
      </c>
      <c r="T60" s="263" t="str">
        <f>IF(S60="","",IF(B60=SMALL(S$59:S$63,1),B60,""))</f>
        <v/>
      </c>
      <c r="U60" s="263">
        <f t="shared" si="17"/>
        <v>49</v>
      </c>
      <c r="W60" s="464">
        <f t="shared" si="27"/>
        <v>39503.750000000007</v>
      </c>
    </row>
    <row r="61" spans="1:23" ht="17.100000000000001" customHeight="1">
      <c r="A61" s="229">
        <v>16750</v>
      </c>
      <c r="B61" s="466">
        <f>IF(C61="O","",RANK(W61,W$24:W$83,1)+COUNTIF($W$24:W61,W61)-1)</f>
        <v>50</v>
      </c>
      <c r="C61" s="485"/>
      <c r="D61" s="232" t="s">
        <v>174</v>
      </c>
      <c r="E61" s="233">
        <v>73000</v>
      </c>
      <c r="F61" s="216" t="s">
        <v>159</v>
      </c>
      <c r="G61" s="224" t="s">
        <v>153</v>
      </c>
      <c r="H61" s="6">
        <v>1500</v>
      </c>
      <c r="I61" s="6">
        <f t="shared" si="24"/>
        <v>16750</v>
      </c>
      <c r="J61" s="28">
        <f t="shared" si="7"/>
        <v>40218.750000000007</v>
      </c>
      <c r="K61" s="84">
        <f t="shared" si="28"/>
        <v>0</v>
      </c>
      <c r="L61" s="85">
        <v>0</v>
      </c>
      <c r="M61" s="58">
        <f t="shared" si="15"/>
        <v>40218.750000000007</v>
      </c>
      <c r="N61" s="31" t="str">
        <f t="shared" si="8"/>
        <v>데이터(1.5GB) 부족</v>
      </c>
      <c r="O61" s="681"/>
      <c r="P61" s="263">
        <f t="shared" si="9"/>
        <v>1500</v>
      </c>
      <c r="Q61" s="426">
        <f t="shared" si="25"/>
        <v>50</v>
      </c>
      <c r="R61" s="263" t="str">
        <f>IF(B61=SMALL(B$59:B$63,1),B61,"")</f>
        <v/>
      </c>
      <c r="S61" s="263" t="str">
        <f t="shared" si="26"/>
        <v/>
      </c>
      <c r="T61" s="263" t="str">
        <f>IF(S61="","",IF(B61=SMALL(S$59:S$63,1),B61,""))</f>
        <v/>
      </c>
      <c r="U61" s="263">
        <f t="shared" si="17"/>
        <v>50</v>
      </c>
      <c r="W61" s="464">
        <f t="shared" si="27"/>
        <v>40218.750000000007</v>
      </c>
    </row>
    <row r="62" spans="1:23" ht="17.100000000000001" customHeight="1">
      <c r="A62" s="229">
        <v>16750</v>
      </c>
      <c r="B62" s="466">
        <f>IF(C62="O","",RANK(W62,W$24:W$83,1)+COUNTIF($W$24:W62,W62)-1)</f>
        <v>52</v>
      </c>
      <c r="C62" s="485"/>
      <c r="D62" s="232" t="s">
        <v>174</v>
      </c>
      <c r="E62" s="233">
        <v>73500</v>
      </c>
      <c r="F62" s="216" t="s">
        <v>159</v>
      </c>
      <c r="G62" s="224" t="s">
        <v>153</v>
      </c>
      <c r="H62" s="6">
        <v>3000</v>
      </c>
      <c r="I62" s="6">
        <f t="shared" si="24"/>
        <v>16750</v>
      </c>
      <c r="J62" s="28">
        <f t="shared" si="7"/>
        <v>40576.250000000007</v>
      </c>
      <c r="K62" s="84">
        <f t="shared" si="28"/>
        <v>0</v>
      </c>
      <c r="L62" s="85">
        <v>0</v>
      </c>
      <c r="M62" s="58">
        <f t="shared" si="15"/>
        <v>40576.250000000007</v>
      </c>
      <c r="N62" s="31" t="str">
        <f t="shared" si="8"/>
        <v/>
      </c>
      <c r="O62" s="681"/>
      <c r="P62" s="263">
        <f t="shared" si="9"/>
        <v>0</v>
      </c>
      <c r="Q62" s="426">
        <f t="shared" si="25"/>
        <v>52</v>
      </c>
      <c r="R62" s="263" t="str">
        <f>IF(B62=SMALL(B$59:B$63,1),B62,"")</f>
        <v/>
      </c>
      <c r="S62" s="263">
        <f t="shared" si="26"/>
        <v>52</v>
      </c>
      <c r="T62" s="263">
        <f>IF(S62="","",IF(B62=SMALL(S$59:S$63,1),B62,""))</f>
        <v>52</v>
      </c>
      <c r="U62" s="263">
        <f t="shared" si="17"/>
        <v>52</v>
      </c>
      <c r="W62" s="464">
        <f t="shared" si="27"/>
        <v>40576.250000000007</v>
      </c>
    </row>
    <row r="63" spans="1:23" ht="17.100000000000001" customHeight="1" thickBot="1">
      <c r="A63" s="229">
        <v>18750</v>
      </c>
      <c r="B63" s="466">
        <f>IF(C63="O","",RANK(W63,W$24:W$83,1)+COUNTIF($W$24:W63,W63)-1)</f>
        <v>53</v>
      </c>
      <c r="C63" s="499"/>
      <c r="D63" s="236" t="s">
        <v>174</v>
      </c>
      <c r="E63" s="235">
        <v>77000</v>
      </c>
      <c r="F63" s="217" t="s">
        <v>159</v>
      </c>
      <c r="G63" s="227" t="s">
        <v>153</v>
      </c>
      <c r="H63" s="8">
        <v>6000</v>
      </c>
      <c r="I63" s="8">
        <f t="shared" si="24"/>
        <v>18750</v>
      </c>
      <c r="J63" s="29">
        <f t="shared" si="7"/>
        <v>41648.750000000007</v>
      </c>
      <c r="K63" s="86">
        <f t="shared" si="28"/>
        <v>0</v>
      </c>
      <c r="L63" s="87">
        <v>0</v>
      </c>
      <c r="M63" s="59">
        <f t="shared" si="15"/>
        <v>41648.750000000007</v>
      </c>
      <c r="N63" s="32" t="str">
        <f t="shared" si="8"/>
        <v/>
      </c>
      <c r="O63" s="682"/>
      <c r="P63" s="263">
        <f t="shared" si="9"/>
        <v>-3000</v>
      </c>
      <c r="Q63" s="426">
        <f t="shared" si="25"/>
        <v>53</v>
      </c>
      <c r="R63" s="263" t="str">
        <f>IF(B63=SMALL(B$59:B$63,1),B63,"")</f>
        <v/>
      </c>
      <c r="S63" s="263">
        <f t="shared" si="26"/>
        <v>53</v>
      </c>
      <c r="T63" s="263" t="str">
        <f>IF(S63="","",IF(B63=SMALL(S$59:S$63,1),B63,""))</f>
        <v/>
      </c>
      <c r="U63" s="263">
        <f t="shared" si="17"/>
        <v>53</v>
      </c>
      <c r="W63" s="464">
        <f t="shared" si="27"/>
        <v>41648.750000000007</v>
      </c>
    </row>
    <row r="64" spans="1:23" ht="17.100000000000001" customHeight="1">
      <c r="A64" s="239">
        <v>5000</v>
      </c>
      <c r="B64" s="466">
        <f>IF(C64="O","",RANK(W64,W$24:W$83,1)+COUNTIF($W$24:W64,W64)-1)</f>
        <v>22</v>
      </c>
      <c r="C64" s="495"/>
      <c r="D64" s="230" t="s">
        <v>176</v>
      </c>
      <c r="E64" s="231">
        <v>24000</v>
      </c>
      <c r="F64" s="220">
        <v>100</v>
      </c>
      <c r="G64" s="240" t="str">
        <f>IF($F$12=0,"50(무료)",$F$12&amp;"+50")</f>
        <v>50(무료)</v>
      </c>
      <c r="H64" s="16">
        <v>250</v>
      </c>
      <c r="I64" s="16">
        <f t="shared" si="24"/>
        <v>5000</v>
      </c>
      <c r="J64" s="27">
        <f>IF($N$10="X",(E64-I64+$H$12)*1.1,(E64-I64+$H$12)*1.1*0.65)</f>
        <v>13585</v>
      </c>
      <c r="K64" s="82">
        <f>IF(OR($F$8="",$F$8&lt;$F64),0,($F$8-F64)*60*1.8)*IF($N$10="O",0.65,1)</f>
        <v>14110.2</v>
      </c>
      <c r="L64" s="83">
        <f>IF($F$10&lt;($F$12+50),0,($F$10-$F$12-50)*20)*IF($N$10="O",0.65,1)</f>
        <v>1963</v>
      </c>
      <c r="M64" s="53">
        <f t="shared" si="15"/>
        <v>31265.52</v>
      </c>
      <c r="N64" s="30" t="str">
        <f t="shared" si="8"/>
        <v>데이터(2.75GB) 부족</v>
      </c>
      <c r="O64" s="677" t="s">
        <v>177</v>
      </c>
      <c r="P64" s="263">
        <f t="shared" si="9"/>
        <v>2750</v>
      </c>
      <c r="Q64" s="426">
        <f t="shared" si="25"/>
        <v>22</v>
      </c>
      <c r="R64" s="263">
        <f>IF(B64=SMALL(B$64:B$68,1),B64,"")</f>
        <v>22</v>
      </c>
      <c r="S64" s="263" t="str">
        <f t="shared" si="26"/>
        <v/>
      </c>
      <c r="T64" s="263" t="str">
        <f>IF(S64="","",IF(B64=SMALL(S$64:S$68,1),B64,""))</f>
        <v/>
      </c>
      <c r="U64" s="263">
        <f t="shared" si="17"/>
        <v>22</v>
      </c>
      <c r="W64" s="464">
        <f t="shared" si="27"/>
        <v>31265.52</v>
      </c>
    </row>
    <row r="65" spans="1:23" ht="17.100000000000001" customHeight="1">
      <c r="A65" s="239">
        <v>5000</v>
      </c>
      <c r="B65" s="466">
        <f>IF(C65="O","",RANK(W65,W$24:W$83,1)+COUNTIF($W$24:W65,W65)-1)</f>
        <v>35</v>
      </c>
      <c r="C65" s="496"/>
      <c r="D65" s="232" t="s">
        <v>176</v>
      </c>
      <c r="E65" s="233">
        <v>28500</v>
      </c>
      <c r="F65" s="223">
        <v>100</v>
      </c>
      <c r="G65" s="241" t="str">
        <f t="shared" ref="G65:G83" si="29">IF($F$12=0,"50(무료)",$F$12&amp;"+50")</f>
        <v>50(무료)</v>
      </c>
      <c r="H65" s="6">
        <v>700</v>
      </c>
      <c r="I65" s="6">
        <f t="shared" si="24"/>
        <v>5000</v>
      </c>
      <c r="J65" s="28">
        <f t="shared" ref="J65:J83" si="30">IF($N$10="X",(E65-I65+$H$12)*1.1,(E65-I65+$H$12)*1.1*0.65)</f>
        <v>16802.500000000004</v>
      </c>
      <c r="K65" s="84">
        <f t="shared" ref="K65:K83" si="31">IF(OR($F$8="",$F$8&lt;$F65),0,($F$8-F65)*60*1.8)*IF($N$10="O",0.65,1)</f>
        <v>14110.2</v>
      </c>
      <c r="L65" s="242">
        <f t="shared" ref="L65:L83" si="32">IF($F$10&lt;($F$12+50),0,($F$10-$F$12-50)*20)*IF($N$10="O",0.65,1)</f>
        <v>1963</v>
      </c>
      <c r="M65" s="58">
        <f t="shared" si="15"/>
        <v>34483.020000000004</v>
      </c>
      <c r="N65" s="31" t="str">
        <f t="shared" si="8"/>
        <v>데이터(2.3GB) 부족</v>
      </c>
      <c r="O65" s="678"/>
      <c r="P65" s="263">
        <f t="shared" si="9"/>
        <v>2300</v>
      </c>
      <c r="Q65" s="426">
        <f t="shared" si="25"/>
        <v>35</v>
      </c>
      <c r="R65" s="263" t="str">
        <f>IF(B65=SMALL(B$64:B$68,1),B65,"")</f>
        <v/>
      </c>
      <c r="S65" s="263" t="str">
        <f t="shared" si="26"/>
        <v/>
      </c>
      <c r="T65" s="263" t="str">
        <f>IF(S65="","",IF(B65=SMALL(S$64:S$68,1),B65,""))</f>
        <v/>
      </c>
      <c r="U65" s="263">
        <f t="shared" si="17"/>
        <v>35</v>
      </c>
      <c r="W65" s="464">
        <f t="shared" si="27"/>
        <v>34483.020000000004</v>
      </c>
    </row>
    <row r="66" spans="1:23" ht="17.100000000000001" customHeight="1">
      <c r="A66" s="239">
        <v>7000</v>
      </c>
      <c r="B66" s="466">
        <f>IF(C66="O","",RANK(W66,W$24:W$83,1)+COUNTIF($W$24:W66,W66)-1)</f>
        <v>45</v>
      </c>
      <c r="C66" s="496"/>
      <c r="D66" s="232" t="s">
        <v>176</v>
      </c>
      <c r="E66" s="233">
        <v>35000</v>
      </c>
      <c r="F66" s="223">
        <v>100</v>
      </c>
      <c r="G66" s="241" t="str">
        <f t="shared" si="29"/>
        <v>50(무료)</v>
      </c>
      <c r="H66" s="6">
        <v>1500</v>
      </c>
      <c r="I66" s="6">
        <f t="shared" si="24"/>
        <v>7000</v>
      </c>
      <c r="J66" s="28">
        <f t="shared" si="30"/>
        <v>20020.000000000004</v>
      </c>
      <c r="K66" s="84">
        <f t="shared" si="31"/>
        <v>14110.2</v>
      </c>
      <c r="L66" s="242">
        <f t="shared" si="32"/>
        <v>1963</v>
      </c>
      <c r="M66" s="58">
        <f t="shared" si="15"/>
        <v>37700.520000000004</v>
      </c>
      <c r="N66" s="31" t="str">
        <f t="shared" si="8"/>
        <v>데이터(1.5GB) 부족</v>
      </c>
      <c r="O66" s="678"/>
      <c r="P66" s="263">
        <f t="shared" si="9"/>
        <v>1500</v>
      </c>
      <c r="Q66" s="426">
        <f t="shared" si="25"/>
        <v>45</v>
      </c>
      <c r="R66" s="263" t="str">
        <f>IF(B66=SMALL(B$64:B$68,1),B66,"")</f>
        <v/>
      </c>
      <c r="S66" s="263" t="str">
        <f t="shared" si="26"/>
        <v/>
      </c>
      <c r="T66" s="263" t="str">
        <f>IF(S66="","",IF(B66=SMALL(S$64:S$68,1),B66,""))</f>
        <v/>
      </c>
      <c r="U66" s="263">
        <f t="shared" si="17"/>
        <v>45</v>
      </c>
      <c r="W66" s="464">
        <f t="shared" si="27"/>
        <v>37700.520000000004</v>
      </c>
    </row>
    <row r="67" spans="1:23" ht="17.100000000000001" customHeight="1">
      <c r="A67" s="239">
        <v>7000</v>
      </c>
      <c r="B67" s="466">
        <f>IF(C67="O","",RANK(W67,W$24:W$83,1)+COUNTIF($W$24:W67,W67)-1)</f>
        <v>54</v>
      </c>
      <c r="C67" s="496"/>
      <c r="D67" s="232" t="s">
        <v>176</v>
      </c>
      <c r="E67" s="233">
        <v>41000</v>
      </c>
      <c r="F67" s="223">
        <v>100</v>
      </c>
      <c r="G67" s="241" t="str">
        <f t="shared" si="29"/>
        <v>50(무료)</v>
      </c>
      <c r="H67" s="6">
        <v>3000</v>
      </c>
      <c r="I67" s="6">
        <f t="shared" si="24"/>
        <v>7000</v>
      </c>
      <c r="J67" s="28">
        <f t="shared" si="30"/>
        <v>24310</v>
      </c>
      <c r="K67" s="84">
        <f t="shared" si="31"/>
        <v>14110.2</v>
      </c>
      <c r="L67" s="242">
        <f t="shared" si="32"/>
        <v>1963</v>
      </c>
      <c r="M67" s="58">
        <f t="shared" si="15"/>
        <v>41990.520000000004</v>
      </c>
      <c r="N67" s="31" t="str">
        <f t="shared" si="8"/>
        <v/>
      </c>
      <c r="O67" s="678"/>
      <c r="P67" s="263">
        <f t="shared" si="9"/>
        <v>0</v>
      </c>
      <c r="Q67" s="426">
        <f t="shared" si="25"/>
        <v>54</v>
      </c>
      <c r="R67" s="263" t="str">
        <f>IF(B67=SMALL(B$64:B$68,1),B67,"")</f>
        <v/>
      </c>
      <c r="S67" s="263">
        <f t="shared" si="26"/>
        <v>54</v>
      </c>
      <c r="T67" s="263">
        <f>IF(S67="","",IF(B67=SMALL(S$64:S$68,1),B67,""))</f>
        <v>54</v>
      </c>
      <c r="U67" s="263">
        <f t="shared" si="17"/>
        <v>54</v>
      </c>
      <c r="W67" s="464">
        <f t="shared" si="27"/>
        <v>41990.520000000004</v>
      </c>
    </row>
    <row r="68" spans="1:23" ht="17.100000000000001" customHeight="1" thickBot="1">
      <c r="A68" s="239">
        <v>10500</v>
      </c>
      <c r="B68" s="466">
        <f>IF(C68="O","",RANK(W68,W$24:W$83,1)+COUNTIF($W$24:W68,W68)-1)</f>
        <v>56</v>
      </c>
      <c r="C68" s="497"/>
      <c r="D68" s="234" t="s">
        <v>176</v>
      </c>
      <c r="E68" s="235">
        <v>48000</v>
      </c>
      <c r="F68" s="226">
        <v>100</v>
      </c>
      <c r="G68" s="243" t="str">
        <f t="shared" si="29"/>
        <v>50(무료)</v>
      </c>
      <c r="H68" s="8">
        <v>6000</v>
      </c>
      <c r="I68" s="8">
        <f t="shared" si="24"/>
        <v>10500</v>
      </c>
      <c r="J68" s="29">
        <f t="shared" si="30"/>
        <v>26812.5</v>
      </c>
      <c r="K68" s="88">
        <f t="shared" si="31"/>
        <v>14110.2</v>
      </c>
      <c r="L68" s="244">
        <f t="shared" si="32"/>
        <v>1963</v>
      </c>
      <c r="M68" s="59">
        <f t="shared" si="15"/>
        <v>44493.020000000004</v>
      </c>
      <c r="N68" s="32" t="str">
        <f t="shared" si="8"/>
        <v/>
      </c>
      <c r="O68" s="679"/>
      <c r="P68" s="263">
        <f t="shared" si="9"/>
        <v>-3000</v>
      </c>
      <c r="Q68" s="426">
        <f t="shared" si="25"/>
        <v>56</v>
      </c>
      <c r="R68" s="263" t="str">
        <f>IF(B68=SMALL(B$64:B$68,1),B68,"")</f>
        <v/>
      </c>
      <c r="S68" s="263">
        <f t="shared" si="26"/>
        <v>56</v>
      </c>
      <c r="T68" s="263" t="str">
        <f>IF(S68="","",IF(B68=SMALL(S$64:S$68,1),B68,""))</f>
        <v/>
      </c>
      <c r="U68" s="263">
        <f t="shared" si="17"/>
        <v>56</v>
      </c>
      <c r="W68" s="464">
        <f t="shared" si="27"/>
        <v>44493.020000000004</v>
      </c>
    </row>
    <row r="69" spans="1:23" ht="17.100000000000001" customHeight="1">
      <c r="A69" s="239">
        <v>7000</v>
      </c>
      <c r="B69" s="466">
        <f>IF(C69="O","",RANK(W69,W$24:W$83,1)+COUNTIF($W$24:W69,W69)-1)</f>
        <v>17</v>
      </c>
      <c r="C69" s="502"/>
      <c r="D69" s="230" t="s">
        <v>178</v>
      </c>
      <c r="E69" s="231">
        <v>36000</v>
      </c>
      <c r="F69" s="220">
        <v>200</v>
      </c>
      <c r="G69" s="240" t="str">
        <f t="shared" si="29"/>
        <v>50(무료)</v>
      </c>
      <c r="H69" s="16">
        <v>250</v>
      </c>
      <c r="I69" s="16">
        <f t="shared" si="24"/>
        <v>7000</v>
      </c>
      <c r="J69" s="27">
        <f t="shared" si="30"/>
        <v>20735.000000000004</v>
      </c>
      <c r="K69" s="82">
        <f t="shared" si="31"/>
        <v>7090.2</v>
      </c>
      <c r="L69" s="245">
        <f t="shared" si="32"/>
        <v>1963</v>
      </c>
      <c r="M69" s="53">
        <f t="shared" si="15"/>
        <v>30693.520000000004</v>
      </c>
      <c r="N69" s="30" t="str">
        <f t="shared" si="8"/>
        <v>데이터(2.75GB) 부족</v>
      </c>
      <c r="O69" s="677" t="s">
        <v>179</v>
      </c>
      <c r="P69" s="263">
        <f t="shared" si="9"/>
        <v>2750</v>
      </c>
      <c r="Q69" s="426">
        <f t="shared" si="25"/>
        <v>17</v>
      </c>
      <c r="R69" s="263">
        <f>IF(B69=SMALL(B$69:B$73,1),B69,"")</f>
        <v>17</v>
      </c>
      <c r="S69" s="263" t="str">
        <f t="shared" si="26"/>
        <v/>
      </c>
      <c r="T69" s="263" t="str">
        <f>IF(S69="","",IF(B69=SMALL(S$69:S$73,1),B69,""))</f>
        <v/>
      </c>
      <c r="U69" s="263">
        <f t="shared" si="17"/>
        <v>17</v>
      </c>
      <c r="W69" s="464">
        <f t="shared" si="27"/>
        <v>30693.520000000004</v>
      </c>
    </row>
    <row r="70" spans="1:23" ht="17.100000000000001" customHeight="1">
      <c r="A70" s="239">
        <v>7000</v>
      </c>
      <c r="B70" s="466">
        <f>IF(C70="O","",RANK(W70,W$24:W$83,1)+COUNTIF($W$24:W70,W70)-1)</f>
        <v>29</v>
      </c>
      <c r="C70" s="496"/>
      <c r="D70" s="232" t="s">
        <v>178</v>
      </c>
      <c r="E70" s="233">
        <v>39000</v>
      </c>
      <c r="F70" s="223">
        <v>200</v>
      </c>
      <c r="G70" s="241" t="str">
        <f t="shared" si="29"/>
        <v>50(무료)</v>
      </c>
      <c r="H70" s="6">
        <v>700</v>
      </c>
      <c r="I70" s="6">
        <f t="shared" si="24"/>
        <v>7000</v>
      </c>
      <c r="J70" s="28">
        <f t="shared" si="30"/>
        <v>22880</v>
      </c>
      <c r="K70" s="84">
        <f t="shared" si="31"/>
        <v>7090.2</v>
      </c>
      <c r="L70" s="242">
        <f t="shared" si="32"/>
        <v>1963</v>
      </c>
      <c r="M70" s="58">
        <f t="shared" si="15"/>
        <v>32838.520000000004</v>
      </c>
      <c r="N70" s="31" t="str">
        <f t="shared" si="8"/>
        <v>데이터(2.3GB) 부족</v>
      </c>
      <c r="O70" s="678"/>
      <c r="P70" s="263">
        <f t="shared" si="9"/>
        <v>2300</v>
      </c>
      <c r="Q70" s="426">
        <f t="shared" si="25"/>
        <v>29</v>
      </c>
      <c r="R70" s="263" t="str">
        <f>IF(B70=SMALL(B$69:B$73,1),B70,"")</f>
        <v/>
      </c>
      <c r="S70" s="263" t="str">
        <f t="shared" si="26"/>
        <v/>
      </c>
      <c r="T70" s="263" t="str">
        <f>IF(S70="","",IF(B70=SMALL(S$69:S$73,1),B70,""))</f>
        <v/>
      </c>
      <c r="U70" s="263">
        <f t="shared" si="17"/>
        <v>29</v>
      </c>
      <c r="W70" s="464">
        <f t="shared" si="27"/>
        <v>32838.520000000004</v>
      </c>
    </row>
    <row r="71" spans="1:23" ht="17.100000000000001" customHeight="1">
      <c r="A71" s="239">
        <v>10500</v>
      </c>
      <c r="B71" s="466">
        <f>IF(C71="O","",RANK(W71,W$24:W$83,1)+COUNTIF($W$24:W71,W71)-1)</f>
        <v>34</v>
      </c>
      <c r="C71" s="496"/>
      <c r="D71" s="232" t="s">
        <v>178</v>
      </c>
      <c r="E71" s="233">
        <v>44000</v>
      </c>
      <c r="F71" s="223">
        <v>200</v>
      </c>
      <c r="G71" s="241" t="str">
        <f t="shared" si="29"/>
        <v>50(무료)</v>
      </c>
      <c r="H71" s="6">
        <v>1500</v>
      </c>
      <c r="I71" s="6">
        <f t="shared" si="24"/>
        <v>10500</v>
      </c>
      <c r="J71" s="28">
        <f t="shared" si="30"/>
        <v>23952.5</v>
      </c>
      <c r="K71" s="84">
        <f t="shared" si="31"/>
        <v>7090.2</v>
      </c>
      <c r="L71" s="242">
        <f t="shared" si="32"/>
        <v>1963</v>
      </c>
      <c r="M71" s="58">
        <f t="shared" si="15"/>
        <v>33911.020000000004</v>
      </c>
      <c r="N71" s="31" t="str">
        <f t="shared" si="8"/>
        <v>데이터(1.5GB) 부족</v>
      </c>
      <c r="O71" s="678"/>
      <c r="P71" s="263">
        <f t="shared" si="9"/>
        <v>1500</v>
      </c>
      <c r="Q71" s="426">
        <f t="shared" si="25"/>
        <v>34</v>
      </c>
      <c r="R71" s="263" t="str">
        <f>IF(B71=SMALL(B$69:B$73,1),B71,"")</f>
        <v/>
      </c>
      <c r="S71" s="263" t="str">
        <f t="shared" si="26"/>
        <v/>
      </c>
      <c r="T71" s="263" t="str">
        <f>IF(S71="","",IF(B71=SMALL(S$69:S$73,1),B71,""))</f>
        <v/>
      </c>
      <c r="U71" s="263">
        <f t="shared" si="17"/>
        <v>34</v>
      </c>
      <c r="W71" s="464">
        <f t="shared" si="27"/>
        <v>33911.020000000004</v>
      </c>
    </row>
    <row r="72" spans="1:23" ht="17.100000000000001" customHeight="1">
      <c r="A72" s="239">
        <v>10500</v>
      </c>
      <c r="B72" s="466">
        <f>IF(C72="O","",RANK(W72,W$24:W$83,1)+COUNTIF($W$24:W72,W72)-1)</f>
        <v>44</v>
      </c>
      <c r="C72" s="496"/>
      <c r="D72" s="232" t="s">
        <v>178</v>
      </c>
      <c r="E72" s="233">
        <v>49000</v>
      </c>
      <c r="F72" s="223">
        <v>200</v>
      </c>
      <c r="G72" s="241" t="str">
        <f t="shared" si="29"/>
        <v>50(무료)</v>
      </c>
      <c r="H72" s="6">
        <v>3000</v>
      </c>
      <c r="I72" s="6">
        <f t="shared" si="24"/>
        <v>10500</v>
      </c>
      <c r="J72" s="28">
        <f t="shared" si="30"/>
        <v>27527.5</v>
      </c>
      <c r="K72" s="84">
        <f t="shared" si="31"/>
        <v>7090.2</v>
      </c>
      <c r="L72" s="242">
        <f t="shared" si="32"/>
        <v>1963</v>
      </c>
      <c r="M72" s="58">
        <f t="shared" si="15"/>
        <v>37486.020000000004</v>
      </c>
      <c r="N72" s="31" t="str">
        <f t="shared" si="8"/>
        <v/>
      </c>
      <c r="O72" s="678"/>
      <c r="P72" s="263">
        <f t="shared" si="9"/>
        <v>0</v>
      </c>
      <c r="Q72" s="426">
        <f t="shared" si="25"/>
        <v>44</v>
      </c>
      <c r="R72" s="263" t="str">
        <f>IF(B72=SMALL(B$69:B$73,1),B72,"")</f>
        <v/>
      </c>
      <c r="S72" s="263">
        <f t="shared" si="26"/>
        <v>44</v>
      </c>
      <c r="T72" s="263">
        <f>IF(S72="","",IF(B72=SMALL(S$69:S$73,1),B72,""))</f>
        <v>44</v>
      </c>
      <c r="U72" s="263">
        <f t="shared" si="17"/>
        <v>44</v>
      </c>
      <c r="W72" s="464">
        <f t="shared" si="27"/>
        <v>37486.020000000004</v>
      </c>
    </row>
    <row r="73" spans="1:23" ht="17.100000000000001" customHeight="1" thickBot="1">
      <c r="A73" s="239">
        <v>13500</v>
      </c>
      <c r="B73" s="466">
        <f>IF(C73="O","",RANK(W73,W$24:W$83,1)+COUNTIF($W$24:W73,W73)-1)</f>
        <v>51</v>
      </c>
      <c r="C73" s="503"/>
      <c r="D73" s="236" t="s">
        <v>178</v>
      </c>
      <c r="E73" s="235">
        <v>56000</v>
      </c>
      <c r="F73" s="226">
        <v>200</v>
      </c>
      <c r="G73" s="243" t="str">
        <f t="shared" si="29"/>
        <v>50(무료)</v>
      </c>
      <c r="H73" s="8">
        <v>6000</v>
      </c>
      <c r="I73" s="8">
        <f t="shared" si="24"/>
        <v>13500</v>
      </c>
      <c r="J73" s="29">
        <f t="shared" si="30"/>
        <v>30387.500000000007</v>
      </c>
      <c r="K73" s="86">
        <f t="shared" si="31"/>
        <v>7090.2</v>
      </c>
      <c r="L73" s="244">
        <f t="shared" si="32"/>
        <v>1963</v>
      </c>
      <c r="M73" s="59">
        <f t="shared" si="15"/>
        <v>40346.020000000011</v>
      </c>
      <c r="N73" s="32" t="str">
        <f t="shared" si="8"/>
        <v/>
      </c>
      <c r="O73" s="679"/>
      <c r="P73" s="263">
        <f t="shared" si="9"/>
        <v>-3000</v>
      </c>
      <c r="Q73" s="426">
        <f t="shared" si="25"/>
        <v>51</v>
      </c>
      <c r="R73" s="263" t="str">
        <f>IF(B73=SMALL(B$69:B$73,1),B73,"")</f>
        <v/>
      </c>
      <c r="S73" s="263">
        <f t="shared" si="26"/>
        <v>51</v>
      </c>
      <c r="T73" s="263" t="str">
        <f>IF(S73="","",IF(B73=SMALL(S$69:S$73,1),B73,""))</f>
        <v/>
      </c>
      <c r="U73" s="263">
        <f t="shared" si="17"/>
        <v>51</v>
      </c>
      <c r="W73" s="464">
        <f t="shared" si="27"/>
        <v>40346.020000000011</v>
      </c>
    </row>
    <row r="74" spans="1:23" ht="17.100000000000001" customHeight="1">
      <c r="A74" s="239">
        <v>10500</v>
      </c>
      <c r="B74" s="466">
        <f>IF(C74="O","",RANK(W74,W$24:W$83,1)+COUNTIF($W$24:W74,W74)-1)</f>
        <v>9</v>
      </c>
      <c r="C74" s="495"/>
      <c r="D74" s="237" t="s">
        <v>180</v>
      </c>
      <c r="E74" s="231">
        <v>44500</v>
      </c>
      <c r="F74" s="220">
        <v>300</v>
      </c>
      <c r="G74" s="240" t="str">
        <f t="shared" si="29"/>
        <v>50(무료)</v>
      </c>
      <c r="H74" s="16">
        <v>250</v>
      </c>
      <c r="I74" s="16">
        <f t="shared" si="24"/>
        <v>10500</v>
      </c>
      <c r="J74" s="27">
        <f t="shared" si="30"/>
        <v>24310</v>
      </c>
      <c r="K74" s="89">
        <f t="shared" si="31"/>
        <v>70.2</v>
      </c>
      <c r="L74" s="245">
        <f t="shared" si="32"/>
        <v>1963</v>
      </c>
      <c r="M74" s="53">
        <f t="shared" si="15"/>
        <v>26546.52</v>
      </c>
      <c r="N74" s="30" t="str">
        <f t="shared" si="8"/>
        <v>데이터(2.75GB) 부족</v>
      </c>
      <c r="O74" s="677" t="s">
        <v>181</v>
      </c>
      <c r="P74" s="263">
        <f t="shared" si="9"/>
        <v>2750</v>
      </c>
      <c r="Q74" s="426">
        <f t="shared" si="25"/>
        <v>9</v>
      </c>
      <c r="R74" s="263">
        <f>IF(B74=SMALL(B$74:B$78,1),B74,"")</f>
        <v>9</v>
      </c>
      <c r="S74" s="263" t="str">
        <f t="shared" si="26"/>
        <v/>
      </c>
      <c r="T74" s="263" t="str">
        <f>IF(S74="","",IF(B74=SMALL(S$74:S$78,1),B74,""))</f>
        <v/>
      </c>
      <c r="U74" s="263">
        <f t="shared" si="17"/>
        <v>9</v>
      </c>
      <c r="W74" s="464">
        <f t="shared" si="27"/>
        <v>26546.52</v>
      </c>
    </row>
    <row r="75" spans="1:23" ht="17.100000000000001" customHeight="1">
      <c r="A75" s="239">
        <v>10500</v>
      </c>
      <c r="B75" s="466">
        <f>IF(C75="O","",RANK(W75,W$24:W$83,1)+COUNTIF($W$24:W75,W75)-1)</f>
        <v>14</v>
      </c>
      <c r="C75" s="496"/>
      <c r="D75" s="232" t="s">
        <v>180</v>
      </c>
      <c r="E75" s="233">
        <v>48000</v>
      </c>
      <c r="F75" s="223">
        <v>300</v>
      </c>
      <c r="G75" s="241" t="str">
        <f t="shared" si="29"/>
        <v>50(무료)</v>
      </c>
      <c r="H75" s="6">
        <v>700</v>
      </c>
      <c r="I75" s="6">
        <f t="shared" si="24"/>
        <v>10500</v>
      </c>
      <c r="J75" s="28">
        <f t="shared" si="30"/>
        <v>26812.5</v>
      </c>
      <c r="K75" s="84">
        <f t="shared" si="31"/>
        <v>70.2</v>
      </c>
      <c r="L75" s="242">
        <f t="shared" si="32"/>
        <v>1963</v>
      </c>
      <c r="M75" s="58">
        <f t="shared" si="15"/>
        <v>29049.02</v>
      </c>
      <c r="N75" s="31" t="str">
        <f t="shared" si="8"/>
        <v>데이터(2.3GB) 부족</v>
      </c>
      <c r="O75" s="678"/>
      <c r="P75" s="263">
        <f t="shared" si="9"/>
        <v>2300</v>
      </c>
      <c r="Q75" s="426">
        <f t="shared" si="25"/>
        <v>14</v>
      </c>
      <c r="R75" s="263" t="str">
        <f>IF(B75=SMALL(B$74:B$78,1),B75,"")</f>
        <v/>
      </c>
      <c r="S75" s="263" t="str">
        <f t="shared" si="26"/>
        <v/>
      </c>
      <c r="T75" s="263" t="str">
        <f>IF(S75="","",IF(B75=SMALL(S$74:S$78,1),B75,""))</f>
        <v/>
      </c>
      <c r="U75" s="263">
        <f t="shared" si="17"/>
        <v>14</v>
      </c>
      <c r="W75" s="464">
        <f t="shared" si="27"/>
        <v>29049.02</v>
      </c>
    </row>
    <row r="76" spans="1:23" ht="17.100000000000001" customHeight="1">
      <c r="A76" s="239">
        <v>10500</v>
      </c>
      <c r="B76" s="466">
        <f>IF(C76="O","",RANK(W76,W$24:W$83,1)+COUNTIF($W$24:W76,W76)-1)</f>
        <v>21</v>
      </c>
      <c r="C76" s="496"/>
      <c r="D76" s="232" t="s">
        <v>180</v>
      </c>
      <c r="E76" s="233">
        <v>51000</v>
      </c>
      <c r="F76" s="223">
        <v>300</v>
      </c>
      <c r="G76" s="241" t="str">
        <f t="shared" si="29"/>
        <v>50(무료)</v>
      </c>
      <c r="H76" s="6">
        <v>1500</v>
      </c>
      <c r="I76" s="6">
        <f t="shared" si="24"/>
        <v>10500</v>
      </c>
      <c r="J76" s="28">
        <f t="shared" si="30"/>
        <v>28957.5</v>
      </c>
      <c r="K76" s="84">
        <f t="shared" si="31"/>
        <v>70.2</v>
      </c>
      <c r="L76" s="242">
        <f t="shared" si="32"/>
        <v>1963</v>
      </c>
      <c r="M76" s="58">
        <f t="shared" si="15"/>
        <v>31194.02</v>
      </c>
      <c r="N76" s="31" t="str">
        <f t="shared" si="8"/>
        <v>데이터(1.5GB) 부족</v>
      </c>
      <c r="O76" s="678"/>
      <c r="P76" s="263">
        <f t="shared" si="9"/>
        <v>1500</v>
      </c>
      <c r="Q76" s="426">
        <f t="shared" si="25"/>
        <v>21</v>
      </c>
      <c r="R76" s="263" t="str">
        <f>IF(B76=SMALL(B$74:B$78,1),B76,"")</f>
        <v/>
      </c>
      <c r="S76" s="263" t="str">
        <f t="shared" si="26"/>
        <v/>
      </c>
      <c r="T76" s="263" t="str">
        <f>IF(S76="","",IF(B76=SMALL(S$74:S$78,1),B76,""))</f>
        <v/>
      </c>
      <c r="U76" s="263">
        <f t="shared" si="17"/>
        <v>21</v>
      </c>
      <c r="W76" s="464">
        <f t="shared" si="27"/>
        <v>31194.02</v>
      </c>
    </row>
    <row r="77" spans="1:23" ht="17.100000000000001" customHeight="1">
      <c r="A77" s="239">
        <v>13500</v>
      </c>
      <c r="B77" s="466">
        <f>IF(C77="O","",RANK(W77,W$24:W$83,1)+COUNTIF($W$24:W77,W77)-1)</f>
        <v>27</v>
      </c>
      <c r="C77" s="496"/>
      <c r="D77" s="232" t="s">
        <v>180</v>
      </c>
      <c r="E77" s="233">
        <v>55000</v>
      </c>
      <c r="F77" s="223">
        <v>300</v>
      </c>
      <c r="G77" s="241" t="str">
        <f t="shared" si="29"/>
        <v>50(무료)</v>
      </c>
      <c r="H77" s="6">
        <v>3000</v>
      </c>
      <c r="I77" s="6">
        <f t="shared" si="24"/>
        <v>13500</v>
      </c>
      <c r="J77" s="28">
        <f t="shared" si="30"/>
        <v>29672.500000000007</v>
      </c>
      <c r="K77" s="84">
        <f t="shared" si="31"/>
        <v>70.2</v>
      </c>
      <c r="L77" s="242">
        <f t="shared" si="32"/>
        <v>1963</v>
      </c>
      <c r="M77" s="58">
        <f t="shared" si="15"/>
        <v>31909.020000000008</v>
      </c>
      <c r="N77" s="31" t="str">
        <f t="shared" si="8"/>
        <v/>
      </c>
      <c r="O77" s="678"/>
      <c r="P77" s="263">
        <f t="shared" si="9"/>
        <v>0</v>
      </c>
      <c r="Q77" s="426">
        <f t="shared" si="25"/>
        <v>27</v>
      </c>
      <c r="R77" s="263" t="str">
        <f>IF(B77=SMALL(B$74:B$78,1),B77,"")</f>
        <v/>
      </c>
      <c r="S77" s="263">
        <f t="shared" si="26"/>
        <v>27</v>
      </c>
      <c r="T77" s="263">
        <f>IF(S77="","",IF(B77=SMALL(S$74:S$78,1),B77,""))</f>
        <v>27</v>
      </c>
      <c r="U77" s="263">
        <f t="shared" si="17"/>
        <v>27</v>
      </c>
      <c r="W77" s="464">
        <f t="shared" si="27"/>
        <v>31909.020000000008</v>
      </c>
    </row>
    <row r="78" spans="1:23" ht="17.100000000000001" customHeight="1" thickBot="1">
      <c r="A78" s="239">
        <v>13500</v>
      </c>
      <c r="B78" s="466">
        <f>IF(C78="O","",RANK(W78,W$24:W$83,1)+COUNTIF($W$24:W78,W78)-1)</f>
        <v>40</v>
      </c>
      <c r="C78" s="497"/>
      <c r="D78" s="234" t="s">
        <v>180</v>
      </c>
      <c r="E78" s="235">
        <v>61000</v>
      </c>
      <c r="F78" s="226">
        <v>300</v>
      </c>
      <c r="G78" s="243" t="str">
        <f t="shared" si="29"/>
        <v>50(무료)</v>
      </c>
      <c r="H78" s="8">
        <v>6000</v>
      </c>
      <c r="I78" s="8">
        <f t="shared" si="24"/>
        <v>13500</v>
      </c>
      <c r="J78" s="29">
        <f t="shared" si="30"/>
        <v>33962.500000000007</v>
      </c>
      <c r="K78" s="88">
        <f t="shared" si="31"/>
        <v>70.2</v>
      </c>
      <c r="L78" s="244">
        <f t="shared" si="32"/>
        <v>1963</v>
      </c>
      <c r="M78" s="59">
        <f t="shared" si="15"/>
        <v>36199.020000000004</v>
      </c>
      <c r="N78" s="32" t="str">
        <f t="shared" si="8"/>
        <v/>
      </c>
      <c r="O78" s="679"/>
      <c r="P78" s="263">
        <f t="shared" si="9"/>
        <v>-3000</v>
      </c>
      <c r="Q78" s="426">
        <f t="shared" si="25"/>
        <v>40</v>
      </c>
      <c r="R78" s="263" t="str">
        <f>IF(B78=SMALL(B$74:B$78,1),B78,"")</f>
        <v/>
      </c>
      <c r="S78" s="263">
        <f t="shared" si="26"/>
        <v>40</v>
      </c>
      <c r="T78" s="263" t="str">
        <f>IF(S78="","",IF(B78=SMALL(S$74:S$78,1),B78,""))</f>
        <v/>
      </c>
      <c r="U78" s="263">
        <f t="shared" si="17"/>
        <v>40</v>
      </c>
      <c r="W78" s="464">
        <f t="shared" si="27"/>
        <v>36199.020000000004</v>
      </c>
    </row>
    <row r="79" spans="1:23" ht="17.100000000000001" customHeight="1">
      <c r="A79" s="239">
        <v>13500</v>
      </c>
      <c r="B79" s="466">
        <f>IF(C79="O","",RANK(W79,W$24:W$83,1)+COUNTIF($W$24:W79,W79)-1)</f>
        <v>24</v>
      </c>
      <c r="C79" s="502"/>
      <c r="D79" s="230" t="s">
        <v>182</v>
      </c>
      <c r="E79" s="231">
        <v>54500</v>
      </c>
      <c r="F79" s="220">
        <v>400</v>
      </c>
      <c r="G79" s="240" t="str">
        <f t="shared" si="29"/>
        <v>50(무료)</v>
      </c>
      <c r="H79" s="16">
        <v>250</v>
      </c>
      <c r="I79" s="16">
        <f t="shared" si="24"/>
        <v>13500</v>
      </c>
      <c r="J79" s="27">
        <f t="shared" si="30"/>
        <v>29315.000000000007</v>
      </c>
      <c r="K79" s="82">
        <f t="shared" si="31"/>
        <v>0</v>
      </c>
      <c r="L79" s="245">
        <f t="shared" si="32"/>
        <v>1963</v>
      </c>
      <c r="M79" s="53">
        <f t="shared" si="15"/>
        <v>31474.300000000007</v>
      </c>
      <c r="N79" s="30" t="str">
        <f t="shared" si="8"/>
        <v>데이터(2.75GB) 부족</v>
      </c>
      <c r="O79" s="677" t="s">
        <v>183</v>
      </c>
      <c r="P79" s="263">
        <f t="shared" si="9"/>
        <v>2750</v>
      </c>
      <c r="Q79" s="426">
        <f t="shared" si="25"/>
        <v>24</v>
      </c>
      <c r="R79" s="263">
        <f>IF(B79=SMALL(B$79:B$83,1),B79,"")</f>
        <v>24</v>
      </c>
      <c r="S79" s="263" t="str">
        <f t="shared" si="26"/>
        <v/>
      </c>
      <c r="T79" s="263" t="str">
        <f>IF(S79="","",IF(B79=SMALL(S$79:S$83,1),B79,""))</f>
        <v/>
      </c>
      <c r="U79" s="263">
        <f t="shared" si="17"/>
        <v>24</v>
      </c>
      <c r="W79" s="464">
        <f t="shared" si="27"/>
        <v>31474.300000000007</v>
      </c>
    </row>
    <row r="80" spans="1:23" ht="17.100000000000001" customHeight="1">
      <c r="A80" s="239">
        <v>13500</v>
      </c>
      <c r="B80" s="466">
        <f>IF(C80="O","",RANK(W80,W$24:W$83,1)+COUNTIF($W$24:W80,W80)-1)</f>
        <v>32</v>
      </c>
      <c r="C80" s="496"/>
      <c r="D80" s="232" t="s">
        <v>182</v>
      </c>
      <c r="E80" s="233">
        <v>57500</v>
      </c>
      <c r="F80" s="223">
        <v>400</v>
      </c>
      <c r="G80" s="241" t="str">
        <f t="shared" si="29"/>
        <v>50(무료)</v>
      </c>
      <c r="H80" s="6">
        <v>700</v>
      </c>
      <c r="I80" s="6">
        <f t="shared" si="24"/>
        <v>13500</v>
      </c>
      <c r="J80" s="28">
        <f t="shared" si="30"/>
        <v>31460.000000000007</v>
      </c>
      <c r="K80" s="84">
        <f t="shared" si="31"/>
        <v>0</v>
      </c>
      <c r="L80" s="242">
        <f t="shared" si="32"/>
        <v>1963</v>
      </c>
      <c r="M80" s="58">
        <f t="shared" si="15"/>
        <v>33619.30000000001</v>
      </c>
      <c r="N80" s="31" t="str">
        <f t="shared" si="8"/>
        <v>데이터(2.3GB) 부족</v>
      </c>
      <c r="O80" s="678"/>
      <c r="P80" s="263">
        <f t="shared" si="9"/>
        <v>2300</v>
      </c>
      <c r="Q80" s="426">
        <f t="shared" si="25"/>
        <v>32</v>
      </c>
      <c r="R80" s="263" t="str">
        <f>IF(B80=SMALL(B$79:B$83,1),B80,"")</f>
        <v/>
      </c>
      <c r="S80" s="263" t="str">
        <f t="shared" si="26"/>
        <v/>
      </c>
      <c r="T80" s="263" t="str">
        <f>IF(S80="","",IF(B80=SMALL(S$79:S$83,1),B80,""))</f>
        <v/>
      </c>
      <c r="U80" s="263">
        <f t="shared" si="17"/>
        <v>32</v>
      </c>
      <c r="W80" s="464">
        <f t="shared" si="27"/>
        <v>33619.30000000001</v>
      </c>
    </row>
    <row r="81" spans="1:23" ht="17.100000000000001" customHeight="1">
      <c r="A81" s="239">
        <v>13500</v>
      </c>
      <c r="B81" s="466">
        <f>IF(C81="O","",RANK(W81,W$24:W$83,1)+COUNTIF($W$24:W81,W81)-1)</f>
        <v>38</v>
      </c>
      <c r="C81" s="496"/>
      <c r="D81" s="232" t="s">
        <v>182</v>
      </c>
      <c r="E81" s="233">
        <v>60500</v>
      </c>
      <c r="F81" s="223">
        <v>400</v>
      </c>
      <c r="G81" s="241" t="str">
        <f t="shared" si="29"/>
        <v>50(무료)</v>
      </c>
      <c r="H81" s="6">
        <v>1500</v>
      </c>
      <c r="I81" s="6">
        <f t="shared" si="24"/>
        <v>13500</v>
      </c>
      <c r="J81" s="28">
        <f t="shared" si="30"/>
        <v>33605.000000000007</v>
      </c>
      <c r="K81" s="84">
        <f t="shared" si="31"/>
        <v>0</v>
      </c>
      <c r="L81" s="242">
        <f t="shared" si="32"/>
        <v>1963</v>
      </c>
      <c r="M81" s="58">
        <f t="shared" si="15"/>
        <v>35764.30000000001</v>
      </c>
      <c r="N81" s="31" t="str">
        <f t="shared" si="8"/>
        <v>데이터(1.5GB) 부족</v>
      </c>
      <c r="O81" s="678"/>
      <c r="P81" s="263">
        <f t="shared" si="9"/>
        <v>1500</v>
      </c>
      <c r="Q81" s="426">
        <f t="shared" si="25"/>
        <v>38</v>
      </c>
      <c r="R81" s="263" t="str">
        <f>IF(B81=SMALL(B$79:B$83,1),B81,"")</f>
        <v/>
      </c>
      <c r="S81" s="263" t="str">
        <f t="shared" si="26"/>
        <v/>
      </c>
      <c r="T81" s="263" t="str">
        <f>IF(S81="","",IF(B81=SMALL(S$79:S$83,1),B81,""))</f>
        <v/>
      </c>
      <c r="U81" s="263">
        <f t="shared" si="17"/>
        <v>38</v>
      </c>
      <c r="W81" s="464">
        <f t="shared" si="27"/>
        <v>35764.30000000001</v>
      </c>
    </row>
    <row r="82" spans="1:23" ht="17.100000000000001" customHeight="1">
      <c r="A82" s="239">
        <v>16000</v>
      </c>
      <c r="B82" s="466">
        <f>IF(C82="O","",RANK(W82,W$24:W$83,1)+COUNTIF($W$24:W82,W82)-1)</f>
        <v>41</v>
      </c>
      <c r="C82" s="496"/>
      <c r="D82" s="232" t="s">
        <v>182</v>
      </c>
      <c r="E82" s="233">
        <v>64000</v>
      </c>
      <c r="F82" s="223">
        <v>400</v>
      </c>
      <c r="G82" s="241" t="str">
        <f t="shared" si="29"/>
        <v>50(무료)</v>
      </c>
      <c r="H82" s="6">
        <v>3000</v>
      </c>
      <c r="I82" s="6">
        <f t="shared" si="24"/>
        <v>16000</v>
      </c>
      <c r="J82" s="28">
        <f t="shared" si="30"/>
        <v>34320.000000000007</v>
      </c>
      <c r="K82" s="84">
        <f t="shared" si="31"/>
        <v>0</v>
      </c>
      <c r="L82" s="242">
        <f t="shared" si="32"/>
        <v>1963</v>
      </c>
      <c r="M82" s="58">
        <f t="shared" si="15"/>
        <v>36479.30000000001</v>
      </c>
      <c r="N82" s="31" t="str">
        <f t="shared" si="8"/>
        <v/>
      </c>
      <c r="O82" s="678"/>
      <c r="P82" s="263">
        <f t="shared" si="9"/>
        <v>0</v>
      </c>
      <c r="Q82" s="426">
        <f t="shared" si="25"/>
        <v>41</v>
      </c>
      <c r="R82" s="263" t="str">
        <f>IF(B82=SMALL(B$79:B$83,1),B82,"")</f>
        <v/>
      </c>
      <c r="S82" s="263">
        <f t="shared" si="26"/>
        <v>41</v>
      </c>
      <c r="T82" s="263">
        <f>IF(S82="","",IF(B82=SMALL(S$79:S$83,1),B82,""))</f>
        <v>41</v>
      </c>
      <c r="U82" s="263">
        <f t="shared" si="17"/>
        <v>41</v>
      </c>
      <c r="W82" s="464">
        <f t="shared" si="27"/>
        <v>36479.30000000001</v>
      </c>
    </row>
    <row r="83" spans="1:23" ht="17.100000000000001" customHeight="1" thickBot="1">
      <c r="A83" s="239">
        <v>16000</v>
      </c>
      <c r="B83" s="466">
        <f>IF(C83="O","",RANK(W83,W$24:W$83,1)+COUNTIF($W$24:W83,W83)-1)</f>
        <v>48</v>
      </c>
      <c r="C83" s="503"/>
      <c r="D83" s="236" t="s">
        <v>182</v>
      </c>
      <c r="E83" s="235">
        <v>67500</v>
      </c>
      <c r="F83" s="226">
        <v>400</v>
      </c>
      <c r="G83" s="243" t="str">
        <f t="shared" si="29"/>
        <v>50(무료)</v>
      </c>
      <c r="H83" s="8">
        <v>6000</v>
      </c>
      <c r="I83" s="8">
        <f t="shared" si="24"/>
        <v>16000</v>
      </c>
      <c r="J83" s="29">
        <f t="shared" si="30"/>
        <v>36822.500000000007</v>
      </c>
      <c r="K83" s="86">
        <f t="shared" si="31"/>
        <v>0</v>
      </c>
      <c r="L83" s="244">
        <f t="shared" si="32"/>
        <v>1963</v>
      </c>
      <c r="M83" s="59">
        <f t="shared" si="15"/>
        <v>38981.80000000001</v>
      </c>
      <c r="N83" s="32" t="str">
        <f t="shared" si="8"/>
        <v/>
      </c>
      <c r="O83" s="679"/>
      <c r="P83" s="263">
        <f t="shared" si="9"/>
        <v>-3000</v>
      </c>
      <c r="Q83" s="426">
        <f t="shared" si="25"/>
        <v>48</v>
      </c>
      <c r="R83" s="263" t="str">
        <f>IF(B83=SMALL(B$79:B$83,1),B83,"")</f>
        <v/>
      </c>
      <c r="S83" s="263">
        <f t="shared" si="26"/>
        <v>48</v>
      </c>
      <c r="T83" s="263" t="str">
        <f>IF(S83="","",IF(B83=SMALL(S$79:S$83,1),B83,""))</f>
        <v/>
      </c>
      <c r="U83" s="263">
        <f t="shared" si="17"/>
        <v>48</v>
      </c>
      <c r="W83" s="464">
        <f t="shared" si="27"/>
        <v>38981.80000000001</v>
      </c>
    </row>
    <row r="84" spans="1:23" s="188" customFormat="1" ht="16.5" customHeight="1">
      <c r="A84" s="187"/>
      <c r="B84" s="187"/>
      <c r="C84" s="187"/>
      <c r="D84" s="187"/>
      <c r="E84" s="187"/>
      <c r="F84" s="187"/>
      <c r="G84" s="187"/>
      <c r="H84" s="187"/>
      <c r="I84" s="187"/>
      <c r="J84" s="187"/>
      <c r="K84" s="187"/>
      <c r="L84" s="187"/>
      <c r="M84" s="187"/>
      <c r="N84" s="187"/>
      <c r="O84" s="187"/>
      <c r="P84" s="419"/>
      <c r="Q84" s="419"/>
      <c r="R84" s="419"/>
      <c r="S84" s="419"/>
      <c r="T84" s="419"/>
      <c r="U84" s="419"/>
      <c r="V84" s="420"/>
      <c r="W84" s="420"/>
    </row>
    <row r="85" spans="1:23" s="188" customFormat="1" ht="17.100000000000001" customHeight="1">
      <c r="A85" s="187"/>
      <c r="B85" s="187"/>
      <c r="C85" s="187"/>
      <c r="D85" s="273" t="s">
        <v>226</v>
      </c>
      <c r="E85" s="187"/>
      <c r="F85" s="187"/>
      <c r="G85" s="187"/>
      <c r="H85" s="187"/>
      <c r="I85" s="187"/>
      <c r="J85" s="187"/>
      <c r="K85" s="187"/>
      <c r="L85" s="187"/>
      <c r="M85" s="187"/>
      <c r="N85" s="187"/>
      <c r="O85" s="187"/>
      <c r="P85" s="419"/>
      <c r="Q85" s="419"/>
      <c r="R85" s="419"/>
      <c r="S85" s="419"/>
      <c r="T85" s="419"/>
      <c r="U85" s="419"/>
      <c r="V85" s="420"/>
      <c r="W85" s="420"/>
    </row>
    <row r="86" spans="1:23" s="188" customFormat="1" ht="17.100000000000001" customHeight="1">
      <c r="A86" s="187"/>
      <c r="B86" s="187"/>
      <c r="C86" s="187"/>
      <c r="D86" s="187" t="s">
        <v>227</v>
      </c>
      <c r="E86" s="187"/>
      <c r="F86" s="187"/>
      <c r="G86" s="187"/>
      <c r="H86" s="187"/>
      <c r="I86" s="187"/>
      <c r="J86" s="187"/>
      <c r="K86" s="187"/>
      <c r="L86" s="187"/>
      <c r="M86" s="187"/>
      <c r="N86" s="187"/>
      <c r="O86" s="187"/>
      <c r="P86" s="419"/>
      <c r="Q86" s="419"/>
      <c r="R86" s="419"/>
      <c r="S86" s="419"/>
      <c r="T86" s="419"/>
      <c r="U86" s="419"/>
      <c r="V86" s="420"/>
      <c r="W86" s="420"/>
    </row>
    <row r="87" spans="1:23" s="188" customFormat="1" ht="17.100000000000001" customHeight="1">
      <c r="A87" s="187"/>
      <c r="B87" s="187"/>
      <c r="C87" s="187"/>
      <c r="D87" s="187" t="s">
        <v>224</v>
      </c>
      <c r="E87" s="187"/>
      <c r="F87" s="187"/>
      <c r="G87" s="187"/>
      <c r="H87" s="187"/>
      <c r="I87" s="187"/>
      <c r="J87" s="187"/>
      <c r="K87" s="187"/>
      <c r="L87" s="187"/>
      <c r="M87" s="187"/>
      <c r="N87" s="187"/>
      <c r="O87" s="187"/>
      <c r="P87" s="419"/>
      <c r="Q87" s="419"/>
      <c r="R87" s="419"/>
      <c r="S87" s="419"/>
      <c r="T87" s="419"/>
      <c r="U87" s="419"/>
      <c r="V87" s="420"/>
      <c r="W87" s="420"/>
    </row>
    <row r="88" spans="1:23" s="188" customFormat="1" ht="17.100000000000001" customHeight="1">
      <c r="A88" s="187"/>
      <c r="B88" s="187"/>
      <c r="C88" s="187"/>
      <c r="D88" s="273" t="s">
        <v>225</v>
      </c>
      <c r="E88" s="187"/>
      <c r="F88" s="187"/>
      <c r="G88" s="187"/>
      <c r="H88" s="187"/>
      <c r="I88" s="187"/>
      <c r="J88" s="187"/>
      <c r="K88" s="187"/>
      <c r="L88" s="187"/>
      <c r="M88" s="187"/>
      <c r="N88" s="187"/>
      <c r="O88" s="187"/>
      <c r="P88" s="419"/>
      <c r="Q88" s="419"/>
      <c r="R88" s="419"/>
      <c r="S88" s="419"/>
      <c r="T88" s="419"/>
      <c r="U88" s="419"/>
      <c r="V88" s="420"/>
      <c r="W88" s="420"/>
    </row>
    <row r="89" spans="1:23" s="188" customFormat="1" ht="17.100000000000001" customHeight="1">
      <c r="A89" s="187"/>
      <c r="B89" s="187"/>
      <c r="C89" s="187"/>
      <c r="D89" s="187"/>
      <c r="E89" s="187"/>
      <c r="F89" s="187"/>
      <c r="G89" s="187"/>
      <c r="H89" s="187"/>
      <c r="I89" s="187"/>
      <c r="J89" s="187"/>
      <c r="K89" s="187"/>
      <c r="L89" s="187"/>
      <c r="M89" s="187"/>
      <c r="N89" s="187"/>
      <c r="O89" s="187"/>
      <c r="P89" s="419"/>
      <c r="Q89" s="419"/>
      <c r="R89" s="419"/>
      <c r="S89" s="419"/>
      <c r="T89" s="419"/>
      <c r="U89" s="419"/>
      <c r="V89" s="420"/>
      <c r="W89" s="420"/>
    </row>
    <row r="90" spans="1:23" s="188" customFormat="1" ht="17.100000000000001" customHeight="1">
      <c r="A90" s="187"/>
      <c r="B90" s="187"/>
      <c r="C90" s="187"/>
      <c r="D90" s="187"/>
      <c r="E90" s="187"/>
      <c r="F90" s="187"/>
      <c r="G90" s="187"/>
      <c r="H90" s="187"/>
      <c r="I90" s="187"/>
      <c r="J90" s="187"/>
      <c r="K90" s="187"/>
      <c r="L90" s="187"/>
      <c r="M90" s="187"/>
      <c r="N90" s="187"/>
      <c r="O90" s="187"/>
      <c r="P90" s="419"/>
      <c r="Q90" s="419"/>
      <c r="R90" s="419"/>
      <c r="S90" s="419"/>
      <c r="T90" s="419"/>
      <c r="U90" s="419"/>
      <c r="V90" s="420"/>
      <c r="W90" s="420"/>
    </row>
    <row r="91" spans="1:23" s="188" customFormat="1" ht="17.100000000000001" customHeight="1">
      <c r="A91" s="187"/>
      <c r="B91" s="187"/>
      <c r="C91" s="187"/>
      <c r="D91" s="187"/>
      <c r="E91" s="187"/>
      <c r="F91" s="187"/>
      <c r="G91" s="187"/>
      <c r="H91" s="187"/>
      <c r="I91" s="187"/>
      <c r="J91" s="187"/>
      <c r="K91" s="187"/>
      <c r="L91" s="187"/>
      <c r="M91" s="187"/>
      <c r="N91" s="187"/>
      <c r="O91" s="187"/>
      <c r="P91" s="419"/>
      <c r="Q91" s="419"/>
      <c r="R91" s="419"/>
      <c r="S91" s="419"/>
      <c r="T91" s="419"/>
      <c r="U91" s="419"/>
      <c r="V91" s="420"/>
      <c r="W91" s="420"/>
    </row>
    <row r="92" spans="1:23" s="188" customFormat="1" ht="17.100000000000001" customHeight="1">
      <c r="A92" s="187"/>
      <c r="B92" s="187"/>
      <c r="C92" s="187"/>
      <c r="D92" s="187"/>
      <c r="E92" s="187"/>
      <c r="F92" s="187"/>
      <c r="G92" s="187"/>
      <c r="H92" s="187"/>
      <c r="I92" s="187"/>
      <c r="J92" s="187"/>
      <c r="K92" s="187"/>
      <c r="L92" s="187"/>
      <c r="M92" s="187"/>
      <c r="N92" s="187"/>
      <c r="O92" s="187"/>
      <c r="P92" s="419"/>
      <c r="Q92" s="419"/>
      <c r="R92" s="419"/>
      <c r="S92" s="419"/>
      <c r="T92" s="419"/>
      <c r="U92" s="419"/>
      <c r="V92" s="420"/>
      <c r="W92" s="420"/>
    </row>
    <row r="93" spans="1:23" s="188" customFormat="1" ht="17.100000000000001" customHeight="1">
      <c r="A93" s="187"/>
      <c r="B93" s="187"/>
      <c r="C93" s="187"/>
      <c r="D93" s="187"/>
      <c r="E93" s="187"/>
      <c r="F93" s="187"/>
      <c r="G93" s="187"/>
      <c r="H93" s="187"/>
      <c r="I93" s="187"/>
      <c r="J93" s="187"/>
      <c r="K93" s="187"/>
      <c r="L93" s="187"/>
      <c r="M93" s="187"/>
      <c r="N93" s="187"/>
      <c r="O93" s="187"/>
      <c r="P93" s="419"/>
      <c r="Q93" s="419"/>
      <c r="R93" s="419"/>
      <c r="S93" s="419"/>
      <c r="T93" s="419"/>
      <c r="U93" s="419"/>
      <c r="V93" s="420"/>
      <c r="W93" s="420"/>
    </row>
    <row r="94" spans="1:23" s="188" customFormat="1" ht="17.100000000000001" customHeight="1">
      <c r="A94" s="187"/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  <c r="P94" s="419"/>
      <c r="Q94" s="419"/>
      <c r="R94" s="419"/>
      <c r="S94" s="419"/>
      <c r="T94" s="419"/>
      <c r="U94" s="419"/>
      <c r="V94" s="420"/>
      <c r="W94" s="420"/>
    </row>
    <row r="95" spans="1:23">
      <c r="C95" s="189"/>
      <c r="D95" s="189"/>
      <c r="E95" s="189"/>
      <c r="F95" s="189"/>
      <c r="G95" s="189"/>
      <c r="H95" s="189"/>
      <c r="I95" s="189"/>
      <c r="J95" s="189"/>
      <c r="K95" s="189"/>
      <c r="L95" s="189"/>
      <c r="M95" s="189"/>
      <c r="N95" s="189"/>
      <c r="O95" s="189"/>
    </row>
    <row r="96" spans="1:23">
      <c r="C96" s="189"/>
      <c r="D96" s="189"/>
      <c r="E96" s="189"/>
      <c r="F96" s="189"/>
      <c r="G96" s="189"/>
      <c r="H96" s="189"/>
      <c r="I96" s="189"/>
      <c r="J96" s="189"/>
      <c r="K96" s="189"/>
      <c r="L96" s="189"/>
      <c r="M96" s="189"/>
      <c r="N96" s="189"/>
      <c r="O96" s="189"/>
    </row>
    <row r="97" spans="3:15">
      <c r="C97" s="189"/>
      <c r="D97" s="189"/>
      <c r="E97" s="189"/>
      <c r="F97" s="189"/>
      <c r="G97" s="189"/>
      <c r="H97" s="189"/>
      <c r="I97" s="189"/>
      <c r="J97" s="189"/>
      <c r="K97" s="189"/>
      <c r="L97" s="189"/>
      <c r="M97" s="189"/>
      <c r="N97" s="189"/>
      <c r="O97" s="189"/>
    </row>
    <row r="98" spans="3:15">
      <c r="C98" s="189"/>
      <c r="D98" s="189"/>
      <c r="E98" s="189"/>
      <c r="F98" s="189"/>
      <c r="G98" s="189"/>
      <c r="H98" s="189"/>
      <c r="I98" s="189"/>
      <c r="J98" s="189"/>
      <c r="K98" s="189"/>
      <c r="L98" s="189"/>
      <c r="M98" s="189"/>
      <c r="N98" s="189"/>
      <c r="O98" s="189"/>
    </row>
    <row r="99" spans="3:15">
      <c r="C99" s="189"/>
      <c r="D99" s="189"/>
      <c r="E99" s="189"/>
      <c r="F99" s="189"/>
      <c r="G99" s="189"/>
      <c r="H99" s="189"/>
      <c r="I99" s="189"/>
      <c r="J99" s="189"/>
      <c r="K99" s="189"/>
      <c r="L99" s="189"/>
      <c r="M99" s="189"/>
      <c r="N99" s="189"/>
      <c r="O99" s="189"/>
    </row>
  </sheetData>
  <sheetProtection algorithmName="SHA-512" hashValue="La1695izm0z8FG6UuwV3T47xRjPSy19zBngAHhPG+z6Egb7kMEMqxbeZt5zZbyxh/fk2HySkn9U+wNggOfNIDg==" saltValue="h1tHiua7+aUD0+0IS7drLA==" spinCount="100000" sheet="1" objects="1" scenarios="1"/>
  <mergeCells count="50">
    <mergeCell ref="O69:O73"/>
    <mergeCell ref="O74:O78"/>
    <mergeCell ref="O79:O83"/>
    <mergeCell ref="O39:O43"/>
    <mergeCell ref="O44:O48"/>
    <mergeCell ref="O49:O53"/>
    <mergeCell ref="O54:O58"/>
    <mergeCell ref="O59:O63"/>
    <mergeCell ref="O64:O68"/>
    <mergeCell ref="O32:O38"/>
    <mergeCell ref="K14:K15"/>
    <mergeCell ref="L14:L15"/>
    <mergeCell ref="N14:N15"/>
    <mergeCell ref="O14:O15"/>
    <mergeCell ref="K22:K23"/>
    <mergeCell ref="L22:L23"/>
    <mergeCell ref="N22:N23"/>
    <mergeCell ref="O24:O28"/>
    <mergeCell ref="O29:O31"/>
    <mergeCell ref="O22:O23"/>
    <mergeCell ref="D22:D23"/>
    <mergeCell ref="E22:E23"/>
    <mergeCell ref="F22:F23"/>
    <mergeCell ref="G22:G23"/>
    <mergeCell ref="H22:H23"/>
    <mergeCell ref="K11:M11"/>
    <mergeCell ref="D12:E12"/>
    <mergeCell ref="F12:G12"/>
    <mergeCell ref="K12:M12"/>
    <mergeCell ref="C14:C15"/>
    <mergeCell ref="D14:D15"/>
    <mergeCell ref="E14:E15"/>
    <mergeCell ref="F14:F15"/>
    <mergeCell ref="G14:G15"/>
    <mergeCell ref="C22:C23"/>
    <mergeCell ref="B3:O3"/>
    <mergeCell ref="D7:G7"/>
    <mergeCell ref="K7:N7"/>
    <mergeCell ref="D8:E8"/>
    <mergeCell ref="F8:G8"/>
    <mergeCell ref="K8:M8"/>
    <mergeCell ref="D9:E9"/>
    <mergeCell ref="F9:G9"/>
    <mergeCell ref="K9:M9"/>
    <mergeCell ref="D10:E10"/>
    <mergeCell ref="F10:G10"/>
    <mergeCell ref="K10:M10"/>
    <mergeCell ref="H14:H15"/>
    <mergeCell ref="D11:E11"/>
    <mergeCell ref="F11:G11"/>
  </mergeCells>
  <phoneticPr fontId="3" type="noConversion"/>
  <conditionalFormatting sqref="B24:B83">
    <cfRule type="cellIs" dxfId="48" priority="1" operator="lessThan">
      <formula>6</formula>
    </cfRule>
    <cfRule type="cellIs" dxfId="47" priority="8" operator="lessThan">
      <formula>11</formula>
    </cfRule>
    <cfRule type="cellIs" dxfId="46" priority="9" operator="lessThan">
      <formula>21</formula>
    </cfRule>
  </conditionalFormatting>
  <conditionalFormatting sqref="C16:C20">
    <cfRule type="cellIs" dxfId="45" priority="4" operator="lessThan">
      <formula>6</formula>
    </cfRule>
    <cfRule type="cellIs" dxfId="44" priority="5" operator="lessThan">
      <formula>11</formula>
    </cfRule>
    <cfRule type="cellIs" dxfId="43" priority="6" operator="lessThan">
      <formula>21</formula>
    </cfRule>
  </conditionalFormatting>
  <conditionalFormatting sqref="D24:N83">
    <cfRule type="expression" dxfId="42" priority="3">
      <formula>MOD(ROW(),2)=0</formula>
    </cfRule>
  </conditionalFormatting>
  <conditionalFormatting sqref="D24:D83">
    <cfRule type="expression" dxfId="41" priority="194">
      <formula>$C24="O"</formula>
    </cfRule>
  </conditionalFormatting>
  <dataValidations count="3">
    <dataValidation type="list" allowBlank="1" showInputMessage="1" showErrorMessage="1" sqref="N10:N12 C24:C83">
      <formula1>"O,X"</formula1>
    </dataValidation>
    <dataValidation type="list" allowBlank="1" showInputMessage="1" showErrorMessage="1" sqref="N8">
      <formula1>"해당사항없음,10,20,30,50"</formula1>
    </dataValidation>
    <dataValidation type="list" allowBlank="1" showInputMessage="1" showErrorMessage="1" prompt="LTE 맞춤형요금제에 한해서 부가서비스로의 문자개수를 선택 하십시요. (무료문자 50건)_x000a__x000a_문자개수100, 200, 500,700,1000 개에 대해서 각각 1500, 3000, 6000, 8000,10000 원의 부가요금이 청구됩니다." sqref="F12:G12">
      <formula1>"0,100,200,500,700,1000"</formula1>
    </dataValidation>
  </dataValidations>
  <pageMargins left="0.7" right="0.7" top="0.75" bottom="0.75" header="0.3" footer="0.3"/>
  <pageSetup paperSize="9" orientation="portrait" horizontalDpi="4294967292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</sheetPr>
  <dimension ref="A1:Y106"/>
  <sheetViews>
    <sheetView zoomScaleNormal="100" workbookViewId="0">
      <selection activeCell="D22" sqref="D22:D23"/>
    </sheetView>
  </sheetViews>
  <sheetFormatPr defaultRowHeight="16.5"/>
  <cols>
    <col min="1" max="1" width="2.5" style="147" customWidth="1"/>
    <col min="2" max="2" width="4.5" style="147" customWidth="1"/>
    <col min="3" max="3" width="5.25" style="42" customWidth="1"/>
    <col min="4" max="4" width="22.75" style="42" customWidth="1"/>
    <col min="5" max="5" width="8.25" style="42" customWidth="1"/>
    <col min="6" max="6" width="11.5" style="42" customWidth="1"/>
    <col min="7" max="7" width="7.125" style="42" customWidth="1"/>
    <col min="8" max="8" width="9" style="42" customWidth="1"/>
    <col min="9" max="9" width="8.375" style="42" customWidth="1"/>
    <col min="10" max="10" width="8.75" style="42" customWidth="1"/>
    <col min="11" max="11" width="11.125" style="42" customWidth="1"/>
    <col min="12" max="12" width="10" style="42" customWidth="1"/>
    <col min="13" max="13" width="12.75" style="42" customWidth="1"/>
    <col min="14" max="14" width="15.25" style="42" customWidth="1"/>
    <col min="15" max="15" width="11.25" style="42" customWidth="1"/>
    <col min="16" max="16" width="5.5" style="108" customWidth="1"/>
    <col min="17" max="17" width="4.25" style="107" customWidth="1"/>
    <col min="18" max="18" width="4" style="107" customWidth="1"/>
    <col min="19" max="19" width="5.375" style="107" customWidth="1"/>
    <col min="20" max="20" width="8.375" style="107" customWidth="1"/>
    <col min="21" max="21" width="4.875" style="107" customWidth="1"/>
    <col min="22" max="22" width="6.75" style="600" customWidth="1"/>
    <col min="23" max="23" width="7.5" style="601" customWidth="1"/>
    <col min="24" max="24" width="9" style="420"/>
    <col min="25" max="25" width="9" style="73"/>
    <col min="26" max="16384" width="9" style="42"/>
  </cols>
  <sheetData>
    <row r="1" spans="2:21" ht="6" customHeight="1"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2:21" ht="2.25" customHeight="1" thickBot="1"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2:21" ht="30.75" customHeight="1" thickBot="1">
      <c r="B3" s="683" t="s">
        <v>249</v>
      </c>
      <c r="C3" s="684"/>
      <c r="D3" s="684"/>
      <c r="E3" s="684"/>
      <c r="F3" s="684"/>
      <c r="G3" s="684"/>
      <c r="H3" s="684"/>
      <c r="I3" s="684"/>
      <c r="J3" s="684"/>
      <c r="K3" s="684"/>
      <c r="L3" s="684"/>
      <c r="M3" s="684"/>
      <c r="N3" s="684"/>
      <c r="O3" s="685"/>
    </row>
    <row r="4" spans="2:21" ht="17.100000000000001" customHeight="1">
      <c r="C4" s="113"/>
      <c r="D4" s="114" t="s">
        <v>20</v>
      </c>
      <c r="E4" s="41"/>
      <c r="F4" s="41"/>
      <c r="G4" s="41"/>
      <c r="H4" s="41"/>
      <c r="I4" s="48"/>
      <c r="J4" s="41"/>
      <c r="K4" s="48"/>
      <c r="L4" s="48"/>
      <c r="M4" s="68"/>
      <c r="N4" s="69"/>
      <c r="O4" s="69"/>
      <c r="Q4" s="602"/>
    </row>
    <row r="5" spans="2:21" ht="17.100000000000001" customHeight="1">
      <c r="C5" s="113"/>
      <c r="D5" s="115" t="s">
        <v>23</v>
      </c>
      <c r="E5" s="41"/>
      <c r="F5" s="41"/>
      <c r="G5" s="41"/>
      <c r="H5" s="41"/>
      <c r="I5" s="48"/>
      <c r="J5" s="41"/>
      <c r="K5" s="116"/>
      <c r="L5" s="48"/>
      <c r="M5" s="70"/>
      <c r="N5" s="69"/>
      <c r="O5" s="69"/>
      <c r="P5" s="603" t="str">
        <f>IF(F12=100,1500,"")</f>
        <v/>
      </c>
      <c r="Q5" s="602"/>
    </row>
    <row r="6" spans="2:21" ht="24" customHeight="1" thickBot="1">
      <c r="C6" s="113"/>
      <c r="D6" s="117" t="s">
        <v>24</v>
      </c>
      <c r="E6" s="48"/>
      <c r="F6" s="48"/>
      <c r="G6" s="48"/>
      <c r="H6" s="41"/>
      <c r="I6" s="48"/>
      <c r="K6" s="48"/>
      <c r="L6" s="48"/>
      <c r="M6" s="68"/>
      <c r="N6" s="69"/>
      <c r="O6" s="69"/>
      <c r="P6" s="603" t="str">
        <f>IF(F12=200,3000,"")</f>
        <v/>
      </c>
      <c r="Q6" s="602"/>
    </row>
    <row r="7" spans="2:21" ht="24" customHeight="1" thickBot="1">
      <c r="C7" s="113"/>
      <c r="D7" s="697" t="s">
        <v>25</v>
      </c>
      <c r="E7" s="698"/>
      <c r="F7" s="698"/>
      <c r="G7" s="699"/>
      <c r="H7" s="41"/>
      <c r="I7" s="48"/>
      <c r="J7" s="41"/>
      <c r="K7" s="700" t="s">
        <v>26</v>
      </c>
      <c r="L7" s="701"/>
      <c r="M7" s="701"/>
      <c r="N7" s="702"/>
      <c r="O7" s="69"/>
      <c r="P7" s="603" t="str">
        <f>IF(F12=500,6000,"")</f>
        <v/>
      </c>
      <c r="Q7" s="602"/>
    </row>
    <row r="8" spans="2:21" ht="18" customHeight="1">
      <c r="C8" s="41"/>
      <c r="D8" s="689" t="s">
        <v>0</v>
      </c>
      <c r="E8" s="690"/>
      <c r="F8" s="627">
        <v>301</v>
      </c>
      <c r="G8" s="628"/>
      <c r="H8" s="90" t="str">
        <f>IF(OR(F8="",F9=""),"","망내 "&amp;ROUND(F8*F9/100,0)&amp;"분")</f>
        <v>망내 93분</v>
      </c>
      <c r="I8" s="146">
        <f>IF(OR(F8="",F9=""),"",F8*F9/100)</f>
        <v>93.31</v>
      </c>
      <c r="J8" s="41"/>
      <c r="K8" s="629" t="s">
        <v>74</v>
      </c>
      <c r="L8" s="630"/>
      <c r="M8" s="630"/>
      <c r="N8" s="49" t="s">
        <v>16</v>
      </c>
      <c r="O8" s="705" t="s">
        <v>218</v>
      </c>
      <c r="P8" s="603" t="str">
        <f>IF(F12=700,8000,"")</f>
        <v/>
      </c>
      <c r="Q8" s="602"/>
    </row>
    <row r="9" spans="2:21" ht="18" customHeight="1">
      <c r="C9" s="41"/>
      <c r="D9" s="691" t="s">
        <v>63</v>
      </c>
      <c r="E9" s="692"/>
      <c r="F9" s="633">
        <v>31</v>
      </c>
      <c r="G9" s="634"/>
      <c r="H9" s="90" t="str">
        <f>IF(OR(F8="",F9=""),"","망외 "&amp;ROUND(F8*(1-F9/100),0)&amp;"분")</f>
        <v>망외 208분</v>
      </c>
      <c r="I9" s="146">
        <f>IF(OR(F8="",F9=""),"",F8*(100-F9)/100)</f>
        <v>207.69</v>
      </c>
      <c r="J9" s="41"/>
      <c r="K9" s="635" t="s">
        <v>48</v>
      </c>
      <c r="L9" s="636"/>
      <c r="M9" s="636"/>
      <c r="N9" s="67" t="s">
        <v>49</v>
      </c>
      <c r="O9" s="706"/>
      <c r="P9" s="603" t="str">
        <f>IF(F12=1000,10000,"")</f>
        <v/>
      </c>
      <c r="Q9" s="602"/>
    </row>
    <row r="10" spans="2:21" ht="18" customHeight="1" thickBot="1">
      <c r="C10" s="41"/>
      <c r="D10" s="693" t="s">
        <v>1</v>
      </c>
      <c r="E10" s="694"/>
      <c r="F10" s="633">
        <v>201</v>
      </c>
      <c r="G10" s="634"/>
      <c r="H10" s="41"/>
      <c r="I10" s="41"/>
      <c r="J10" s="41"/>
      <c r="K10" s="711" t="s">
        <v>17</v>
      </c>
      <c r="L10" s="712"/>
      <c r="M10" s="712"/>
      <c r="N10" s="50" t="s">
        <v>16</v>
      </c>
      <c r="O10" s="73"/>
      <c r="P10" s="603">
        <f>SUM(P5:P9)</f>
        <v>0</v>
      </c>
      <c r="Q10" s="107">
        <f>IF(F12="50(기본제공)",0,F12)</f>
        <v>0</v>
      </c>
    </row>
    <row r="11" spans="2:21" ht="18" customHeight="1">
      <c r="C11" s="41"/>
      <c r="D11" s="693" t="s">
        <v>2</v>
      </c>
      <c r="E11" s="694"/>
      <c r="F11" s="633">
        <v>500</v>
      </c>
      <c r="G11" s="634"/>
      <c r="H11" s="41"/>
      <c r="I11" s="41"/>
      <c r="J11" s="41"/>
      <c r="K11" s="643" t="str">
        <f>"데이터이용량 "&amp;F11&amp;"MB 이상만 나열하기"</f>
        <v>데이터이용량 500MB 이상만 나열하기</v>
      </c>
      <c r="L11" s="644"/>
      <c r="M11" s="644"/>
      <c r="N11" s="51" t="s">
        <v>16</v>
      </c>
      <c r="O11" s="72"/>
    </row>
    <row r="12" spans="2:21" ht="18" customHeight="1" thickBot="1">
      <c r="C12" s="41"/>
      <c r="D12" s="645"/>
      <c r="E12" s="646"/>
      <c r="F12" s="695"/>
      <c r="G12" s="696"/>
      <c r="H12" s="41"/>
      <c r="I12" s="41"/>
      <c r="J12" s="41"/>
      <c r="K12" s="649" t="s">
        <v>242</v>
      </c>
      <c r="L12" s="650"/>
      <c r="M12" s="650"/>
      <c r="N12" s="414" t="s">
        <v>16</v>
      </c>
      <c r="O12" s="68"/>
      <c r="P12" s="108">
        <f>IF(N12="O",1,0)</f>
        <v>0</v>
      </c>
    </row>
    <row r="13" spans="2:21" ht="17.25" customHeight="1" thickBot="1">
      <c r="C13" s="41"/>
      <c r="D13" s="40" t="s">
        <v>22</v>
      </c>
      <c r="E13" s="41"/>
      <c r="F13" s="41"/>
      <c r="G13" s="118"/>
      <c r="I13" s="41"/>
      <c r="J13" s="41"/>
      <c r="K13" s="41"/>
      <c r="L13" s="41"/>
      <c r="M13" s="68"/>
      <c r="N13" s="68"/>
      <c r="O13" s="68"/>
      <c r="P13" s="108">
        <f>IF(N11="O",2,0)</f>
        <v>0</v>
      </c>
      <c r="Q13" s="107">
        <f>P12+P13</f>
        <v>0</v>
      </c>
    </row>
    <row r="14" spans="2:21" ht="16.5" customHeight="1">
      <c r="C14" s="715" t="s">
        <v>19</v>
      </c>
      <c r="D14" s="717" t="s">
        <v>3</v>
      </c>
      <c r="E14" s="719" t="s">
        <v>4</v>
      </c>
      <c r="F14" s="719" t="s">
        <v>21</v>
      </c>
      <c r="G14" s="719" t="s">
        <v>5</v>
      </c>
      <c r="H14" s="719" t="s">
        <v>6</v>
      </c>
      <c r="I14" s="465" t="s">
        <v>7</v>
      </c>
      <c r="J14" s="135" t="s">
        <v>8</v>
      </c>
      <c r="K14" s="707" t="s">
        <v>13</v>
      </c>
      <c r="L14" s="709" t="s">
        <v>246</v>
      </c>
      <c r="M14" s="520" t="str">
        <f>M22</f>
        <v>실제요금</v>
      </c>
      <c r="N14" s="703" t="s">
        <v>9</v>
      </c>
      <c r="O14" s="713" t="s">
        <v>10</v>
      </c>
      <c r="P14" s="604"/>
      <c r="Q14" s="47"/>
      <c r="R14" s="47"/>
      <c r="S14" s="47"/>
      <c r="T14" s="47"/>
      <c r="U14" s="47"/>
    </row>
    <row r="15" spans="2:21" ht="17.25" thickBot="1">
      <c r="C15" s="716"/>
      <c r="D15" s="718"/>
      <c r="E15" s="720"/>
      <c r="F15" s="720"/>
      <c r="G15" s="721"/>
      <c r="H15" s="720"/>
      <c r="I15" s="136" t="str">
        <f>I23</f>
        <v>(24개월)</v>
      </c>
      <c r="J15" s="137" t="s">
        <v>11</v>
      </c>
      <c r="K15" s="708"/>
      <c r="L15" s="710"/>
      <c r="M15" s="521" t="str">
        <f>M23</f>
        <v>(부가세포함)</v>
      </c>
      <c r="N15" s="704"/>
      <c r="O15" s="714"/>
      <c r="P15" s="604"/>
      <c r="Q15" s="47"/>
      <c r="R15" s="47"/>
      <c r="S15" s="47"/>
      <c r="T15" s="47"/>
      <c r="U15" s="47"/>
    </row>
    <row r="16" spans="2:21">
      <c r="C16" s="44">
        <f>IF(COUNT($U$24:$U$88)&gt;=1,VLOOKUP(SMALL($U$24:$U$88,1),$U$24:$U$88,1,FALSE),"")</f>
        <v>1</v>
      </c>
      <c r="D16" s="415" t="str">
        <f>IF($C$16="","",VLOOKUP($C$16,$B$24:$N$88,COLUMN()-1,FALSE))</f>
        <v>LTE선택형 통화300분 문자300건</v>
      </c>
      <c r="E16" s="9">
        <f t="shared" ref="E16:N16" si="0">IF($C$16="","",VLOOKUP($C$16,$B$24:$N$88,COLUMN()-1,FALSE))</f>
        <v>45000</v>
      </c>
      <c r="F16" s="141">
        <f t="shared" si="0"/>
        <v>300</v>
      </c>
      <c r="G16" s="34">
        <f t="shared" si="0"/>
        <v>300</v>
      </c>
      <c r="H16" s="9">
        <f t="shared" si="0"/>
        <v>250</v>
      </c>
      <c r="I16" s="9">
        <f t="shared" si="0"/>
        <v>11000</v>
      </c>
      <c r="J16" s="17">
        <f t="shared" si="0"/>
        <v>37400</v>
      </c>
      <c r="K16" s="74">
        <f t="shared" si="0"/>
        <v>108</v>
      </c>
      <c r="L16" s="75">
        <f t="shared" si="0"/>
        <v>0</v>
      </c>
      <c r="M16" s="10">
        <f t="shared" si="0"/>
        <v>37518.800000000003</v>
      </c>
      <c r="N16" s="11" t="str">
        <f t="shared" si="0"/>
        <v>데이터(0.25GB) 부족</v>
      </c>
      <c r="O16" s="119"/>
      <c r="P16" s="604"/>
      <c r="Q16" s="47"/>
      <c r="R16" s="47"/>
      <c r="S16" s="47"/>
      <c r="T16" s="47"/>
      <c r="U16" s="47"/>
    </row>
    <row r="17" spans="1:23">
      <c r="C17" s="45">
        <f>IF(COUNT($U$24:$U$88)&gt;=2,VLOOKUP(SMALL($U$24:$U$88,2),$U$24:$U$88,1,FALSE),"")</f>
        <v>2</v>
      </c>
      <c r="D17" s="416" t="str">
        <f>IF($C$17="","",VLOOKUP($C$17,$B$24:$N$88,COLUMN()-1,FALSE))</f>
        <v>모두다올레 35</v>
      </c>
      <c r="E17" s="61">
        <f t="shared" ref="E17:N17" si="1">IF($C$17="","",VLOOKUP($C$17,$B$24:$N$88,COLUMN()-1,FALSE))</f>
        <v>35000</v>
      </c>
      <c r="F17" s="142">
        <f t="shared" si="1"/>
        <v>130</v>
      </c>
      <c r="G17" s="62" t="str">
        <f t="shared" si="1"/>
        <v>무제한</v>
      </c>
      <c r="H17" s="61">
        <f t="shared" si="1"/>
        <v>750</v>
      </c>
      <c r="I17" s="61">
        <f t="shared" si="1"/>
        <v>7000</v>
      </c>
      <c r="J17" s="63">
        <f t="shared" si="1"/>
        <v>30800.000000000004</v>
      </c>
      <c r="K17" s="76">
        <f t="shared" si="1"/>
        <v>8390.52</v>
      </c>
      <c r="L17" s="77">
        <f t="shared" si="1"/>
        <v>0</v>
      </c>
      <c r="M17" s="64">
        <f t="shared" si="1"/>
        <v>40029.572000000007</v>
      </c>
      <c r="N17" s="65" t="str">
        <f t="shared" si="1"/>
        <v/>
      </c>
      <c r="O17" s="66">
        <f>IF(OR(M16="",M17=""),"",M17-M16)</f>
        <v>2510.7720000000045</v>
      </c>
      <c r="P17" s="604"/>
      <c r="Q17" s="47"/>
      <c r="R17" s="47"/>
      <c r="S17" s="47"/>
      <c r="T17" s="47"/>
      <c r="U17" s="47"/>
    </row>
    <row r="18" spans="1:23">
      <c r="C18" s="45">
        <f>IF(COUNT($U$24:$U$88)&gt;=3,VLOOKUP(SMALL($U$24:$U$88,3),$U$24:$U$88,1,FALSE),"")</f>
        <v>3</v>
      </c>
      <c r="D18" s="417" t="str">
        <f>IF($C$18="","",VLOOKUP($C$18,$B$24:$N$88,COLUMN()-1,FALSE))</f>
        <v>모두다올레 45</v>
      </c>
      <c r="E18" s="1">
        <f t="shared" ref="E18:N18" si="2">IF($C$18="","",VLOOKUP($C$18,$B$24:$N$88,COLUMN()-1,FALSE))</f>
        <v>45000</v>
      </c>
      <c r="F18" s="143">
        <f t="shared" si="2"/>
        <v>185</v>
      </c>
      <c r="G18" s="35" t="str">
        <f t="shared" si="2"/>
        <v>무제한</v>
      </c>
      <c r="H18" s="1">
        <f t="shared" si="2"/>
        <v>1500</v>
      </c>
      <c r="I18" s="1">
        <f t="shared" si="2"/>
        <v>11000</v>
      </c>
      <c r="J18" s="18">
        <f t="shared" si="2"/>
        <v>37400</v>
      </c>
      <c r="K18" s="78">
        <f t="shared" si="2"/>
        <v>2450.52</v>
      </c>
      <c r="L18" s="79">
        <f t="shared" si="2"/>
        <v>0</v>
      </c>
      <c r="M18" s="12">
        <f t="shared" si="2"/>
        <v>40095.572</v>
      </c>
      <c r="N18" s="13" t="str">
        <f t="shared" si="2"/>
        <v/>
      </c>
      <c r="O18" s="2">
        <f t="shared" ref="O18:O20" si="3">IF(OR(M17="",M18=""),"",M18-M17)</f>
        <v>65.999999999992724</v>
      </c>
      <c r="P18" s="604"/>
      <c r="Q18" s="47"/>
      <c r="R18" s="47"/>
      <c r="S18" s="47"/>
      <c r="T18" s="47"/>
      <c r="U18" s="47"/>
    </row>
    <row r="19" spans="1:23">
      <c r="C19" s="45">
        <f>IF(COUNT($U$24:$U$88)&gt;=4,VLOOKUP(SMALL($U$24:$U$88,4),$U$24:$U$88,1,FALSE),"")</f>
        <v>4</v>
      </c>
      <c r="D19" s="416" t="str">
        <f>IF($C$19="","",VLOOKUP($C$19,$B$24:$N$88,COLUMN()-1,FALSE))</f>
        <v>LTE선택형 통화300분 문자300건</v>
      </c>
      <c r="E19" s="61">
        <f t="shared" ref="E19:N19" si="4">IF($C$19="","",VLOOKUP($C$19,$B$24:$N$88,COLUMN()-1,FALSE))</f>
        <v>49000</v>
      </c>
      <c r="F19" s="142">
        <f t="shared" si="4"/>
        <v>300</v>
      </c>
      <c r="G19" s="62">
        <f t="shared" si="4"/>
        <v>300</v>
      </c>
      <c r="H19" s="61">
        <f t="shared" si="4"/>
        <v>1000</v>
      </c>
      <c r="I19" s="61">
        <f t="shared" si="4"/>
        <v>11000</v>
      </c>
      <c r="J19" s="63">
        <f t="shared" si="4"/>
        <v>41800</v>
      </c>
      <c r="K19" s="76">
        <f t="shared" si="4"/>
        <v>108</v>
      </c>
      <c r="L19" s="77">
        <f t="shared" si="4"/>
        <v>0</v>
      </c>
      <c r="M19" s="64">
        <f t="shared" si="4"/>
        <v>41918.800000000003</v>
      </c>
      <c r="N19" s="65" t="str">
        <f t="shared" si="4"/>
        <v/>
      </c>
      <c r="O19" s="66">
        <f t="shared" si="3"/>
        <v>1823.2280000000028</v>
      </c>
      <c r="P19" s="604"/>
      <c r="Q19" s="47"/>
      <c r="R19" s="47"/>
      <c r="S19" s="47"/>
      <c r="T19" s="47"/>
      <c r="U19" s="47"/>
    </row>
    <row r="20" spans="1:23" ht="17.25" thickBot="1">
      <c r="C20" s="46">
        <f>IF(COUNT($U$24:$U$88)&gt;=5,VLOOKUP(SMALL($U$24:$U$88,5),$U$24:$U$88,1,FALSE),"")</f>
        <v>5</v>
      </c>
      <c r="D20" s="418" t="str">
        <f>IF($C$20="","",VLOOKUP($C$20,$B$24:$N$88,COLUMN()-1,FALSE))</f>
        <v>LTE선택형 통화180분 문자180건</v>
      </c>
      <c r="E20" s="3">
        <f t="shared" ref="E20:N20" si="5">IF($C$20="","",VLOOKUP($C$20,$B$24:$N$88,COLUMN()-1,FALSE))</f>
        <v>32000</v>
      </c>
      <c r="F20" s="144">
        <f t="shared" si="5"/>
        <v>180</v>
      </c>
      <c r="G20" s="36">
        <f t="shared" si="5"/>
        <v>180</v>
      </c>
      <c r="H20" s="3">
        <f t="shared" si="5"/>
        <v>250</v>
      </c>
      <c r="I20" s="3">
        <f t="shared" si="5"/>
        <v>5000</v>
      </c>
      <c r="J20" s="19">
        <f t="shared" si="5"/>
        <v>29700.000000000004</v>
      </c>
      <c r="K20" s="80">
        <f t="shared" si="5"/>
        <v>13068</v>
      </c>
      <c r="L20" s="81">
        <f t="shared" si="5"/>
        <v>420</v>
      </c>
      <c r="M20" s="14">
        <f t="shared" si="5"/>
        <v>44536.800000000003</v>
      </c>
      <c r="N20" s="15" t="str">
        <f t="shared" si="5"/>
        <v>데이터(0.25GB) 부족</v>
      </c>
      <c r="O20" s="4">
        <f t="shared" si="3"/>
        <v>2618</v>
      </c>
      <c r="P20" s="604"/>
      <c r="Q20" s="47"/>
      <c r="R20" s="47"/>
      <c r="S20" s="47"/>
      <c r="T20" s="47"/>
      <c r="U20" s="47"/>
    </row>
    <row r="21" spans="1:23" ht="23.1" customHeight="1" thickBot="1">
      <c r="C21" s="41"/>
      <c r="D21" s="444" t="str">
        <f>"총 "&amp;COUNTA(D24:D88)&amp;"요금제 중 검색 제외된 요금제는 "&amp;COUNTIF(C24:C88,"O")&amp;"개입니다.  (신규가입 불가능한 요금제는 왼쪽 2번째열에서 O를 선택해주세요)"</f>
        <v>총 65요금제 중 검색 제외된 요금제는 6개입니다.  (신규가입 불가능한 요금제는 왼쪽 2번째열에서 O를 선택해주세요)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604"/>
      <c r="Q21" s="47"/>
      <c r="R21" s="47"/>
      <c r="S21" s="47"/>
      <c r="T21" s="47"/>
      <c r="U21" s="47"/>
    </row>
    <row r="22" spans="1:23" ht="16.5" customHeight="1">
      <c r="B22" s="688" t="s">
        <v>12</v>
      </c>
      <c r="C22" s="686" t="s">
        <v>245</v>
      </c>
      <c r="D22" s="717" t="s">
        <v>3</v>
      </c>
      <c r="E22" s="719" t="s">
        <v>4</v>
      </c>
      <c r="F22" s="719" t="s">
        <v>21</v>
      </c>
      <c r="G22" s="719" t="s">
        <v>5</v>
      </c>
      <c r="H22" s="719" t="s">
        <v>6</v>
      </c>
      <c r="I22" s="465" t="s">
        <v>7</v>
      </c>
      <c r="J22" s="138" t="s">
        <v>8</v>
      </c>
      <c r="K22" s="707" t="s">
        <v>248</v>
      </c>
      <c r="L22" s="709" t="s">
        <v>247</v>
      </c>
      <c r="M22" s="520" t="s">
        <v>244</v>
      </c>
      <c r="N22" s="703" t="s">
        <v>9</v>
      </c>
      <c r="O22" s="734"/>
      <c r="P22" s="604" t="s">
        <v>67</v>
      </c>
      <c r="Q22" s="47"/>
      <c r="R22" s="47"/>
      <c r="S22" s="47"/>
      <c r="T22" s="47"/>
      <c r="U22" s="47"/>
    </row>
    <row r="23" spans="1:23" ht="17.25" customHeight="1" thickBot="1">
      <c r="B23" s="688"/>
      <c r="C23" s="687"/>
      <c r="D23" s="726"/>
      <c r="E23" s="722"/>
      <c r="F23" s="722"/>
      <c r="G23" s="727"/>
      <c r="H23" s="722"/>
      <c r="I23" s="139" t="str">
        <f>IF(N8="O","약정+뭉올","(24개월)")</f>
        <v>(24개월)</v>
      </c>
      <c r="J23" s="140" t="s">
        <v>11</v>
      </c>
      <c r="K23" s="736"/>
      <c r="L23" s="737"/>
      <c r="M23" s="508" t="str">
        <f>"(부가세"&amp;IF($N$10="O",",복지포함)","포함)")</f>
        <v>(부가세포함)</v>
      </c>
      <c r="N23" s="738"/>
      <c r="O23" s="735"/>
      <c r="P23" s="149"/>
      <c r="Q23" s="150" t="s">
        <v>68</v>
      </c>
      <c r="R23" s="150" t="s">
        <v>69</v>
      </c>
      <c r="S23" s="150" t="s">
        <v>9</v>
      </c>
      <c r="T23" s="150" t="s">
        <v>70</v>
      </c>
      <c r="U23" s="605" t="s">
        <v>66</v>
      </c>
      <c r="V23" s="600" t="s">
        <v>71</v>
      </c>
      <c r="W23" s="601" t="s">
        <v>244</v>
      </c>
    </row>
    <row r="24" spans="1:23" ht="17.100000000000001" customHeight="1">
      <c r="A24" s="109">
        <v>7000</v>
      </c>
      <c r="B24" s="504">
        <f>IF(C24="O","",RANK(W24,W$24:W$88,1)+COUNTIF($W$24:W24,W24)-1)</f>
        <v>2</v>
      </c>
      <c r="C24" s="445"/>
      <c r="D24" s="275" t="s">
        <v>27</v>
      </c>
      <c r="E24" s="276">
        <v>35000</v>
      </c>
      <c r="F24" s="277">
        <v>130</v>
      </c>
      <c r="G24" s="278" t="s">
        <v>18</v>
      </c>
      <c r="H24" s="276">
        <v>750</v>
      </c>
      <c r="I24" s="279">
        <f t="shared" ref="I24:I55" si="6">IF($N$8="X",A24,A24+V24)</f>
        <v>7000</v>
      </c>
      <c r="J24" s="280">
        <f t="shared" ref="J24:J53" si="7">IF($N$10="X",(E24-I24)*1.1,(E24-I24)*1.1*0.65)</f>
        <v>30800.000000000004</v>
      </c>
      <c r="K24" s="281">
        <f>IF(F$8*(100-F$9)/100&lt;F24,0,((F$8*(100-F$9)/100)-F24)*60*1.8)*IF($N$10="O",0.65,1)</f>
        <v>8390.52</v>
      </c>
      <c r="L24" s="282">
        <v>0</v>
      </c>
      <c r="M24" s="283">
        <f>J24+(K24+L24)*1.1</f>
        <v>40029.572000000007</v>
      </c>
      <c r="N24" s="284" t="str">
        <f t="shared" ref="N24:N55" si="8">IF(H24="무제한","",IF(($F$11-H24)&gt;0,"데이터("&amp;P24/1000&amp;"GB) 부족",""))</f>
        <v/>
      </c>
      <c r="O24" s="670" t="s">
        <v>64</v>
      </c>
      <c r="P24" s="151">
        <f t="shared" ref="P24:P34" si="9">$F$11-H24</f>
        <v>-250</v>
      </c>
      <c r="Q24" s="152">
        <f t="shared" ref="Q24:Q55" si="10">B24</f>
        <v>2</v>
      </c>
      <c r="R24" s="47">
        <f t="shared" ref="R24:R53" si="11">B24</f>
        <v>2</v>
      </c>
      <c r="S24" s="47">
        <f t="shared" ref="S24:S55" si="12">IF($F$11&lt;=H24,B24,"")</f>
        <v>2</v>
      </c>
      <c r="T24" s="47">
        <f>S24</f>
        <v>2</v>
      </c>
      <c r="U24" s="47">
        <f>VLOOKUP(B24,$B$24:$T$88,$Q$13+16,FALSE)</f>
        <v>2</v>
      </c>
      <c r="V24" s="153">
        <v>1500</v>
      </c>
      <c r="W24" s="464">
        <f t="shared" ref="W24:W55" si="13">IF(C24="O","",M24)</f>
        <v>40029.572000000007</v>
      </c>
    </row>
    <row r="25" spans="1:23" ht="17.100000000000001" customHeight="1">
      <c r="A25" s="109">
        <v>11000</v>
      </c>
      <c r="B25" s="504">
        <f>IF(C25="O","",RANK(W25,W$24:W$88,1)+COUNTIF($W$24:W25,W25)-1)</f>
        <v>3</v>
      </c>
      <c r="C25" s="455"/>
      <c r="D25" s="285" t="s">
        <v>28</v>
      </c>
      <c r="E25" s="286">
        <v>45000</v>
      </c>
      <c r="F25" s="287">
        <v>185</v>
      </c>
      <c r="G25" s="288" t="s">
        <v>18</v>
      </c>
      <c r="H25" s="286">
        <v>1500</v>
      </c>
      <c r="I25" s="289">
        <f t="shared" si="6"/>
        <v>11000</v>
      </c>
      <c r="J25" s="290">
        <f t="shared" si="7"/>
        <v>37400</v>
      </c>
      <c r="K25" s="291">
        <f t="shared" ref="K25:K31" si="14">IF(F$8*(100-F$9)/100&lt;F25,0,((F$8*(100-F$9)/100)-F25)*60*1.8)*IF($N$10="O",0.65,1)</f>
        <v>2450.52</v>
      </c>
      <c r="L25" s="292">
        <v>0</v>
      </c>
      <c r="M25" s="293">
        <f t="shared" ref="M25:M88" si="15">J25+(K25+L25)*1.1</f>
        <v>40095.572</v>
      </c>
      <c r="N25" s="294" t="str">
        <f t="shared" si="8"/>
        <v/>
      </c>
      <c r="O25" s="733"/>
      <c r="P25" s="151">
        <f t="shared" si="9"/>
        <v>-1000</v>
      </c>
      <c r="Q25" s="152">
        <f t="shared" si="10"/>
        <v>3</v>
      </c>
      <c r="R25" s="47">
        <f t="shared" si="11"/>
        <v>3</v>
      </c>
      <c r="S25" s="47">
        <f t="shared" si="12"/>
        <v>3</v>
      </c>
      <c r="T25" s="47">
        <f t="shared" ref="T25:T88" si="16">S25</f>
        <v>3</v>
      </c>
      <c r="U25" s="47">
        <f t="shared" ref="U25:U88" si="17">VLOOKUP(B25,$B$24:$T$88,$Q$13+16,FALSE)</f>
        <v>3</v>
      </c>
      <c r="V25" s="153">
        <v>2500</v>
      </c>
      <c r="W25" s="464">
        <f t="shared" si="13"/>
        <v>40095.572</v>
      </c>
    </row>
    <row r="26" spans="1:23" ht="17.100000000000001" customHeight="1">
      <c r="A26" s="109">
        <v>14000</v>
      </c>
      <c r="B26" s="504">
        <f>IF(C26="O","",RANK(W26,W$24:W$88,1)+COUNTIF($W$24:W26,W26)-1)</f>
        <v>7</v>
      </c>
      <c r="C26" s="446"/>
      <c r="D26" s="285" t="s">
        <v>29</v>
      </c>
      <c r="E26" s="286">
        <v>55000</v>
      </c>
      <c r="F26" s="287">
        <v>250</v>
      </c>
      <c r="G26" s="288" t="s">
        <v>18</v>
      </c>
      <c r="H26" s="286">
        <v>2500</v>
      </c>
      <c r="I26" s="289">
        <f t="shared" si="6"/>
        <v>14000</v>
      </c>
      <c r="J26" s="290">
        <f t="shared" si="7"/>
        <v>45100.000000000007</v>
      </c>
      <c r="K26" s="291">
        <f t="shared" si="14"/>
        <v>0</v>
      </c>
      <c r="L26" s="292">
        <v>0</v>
      </c>
      <c r="M26" s="293">
        <f t="shared" si="15"/>
        <v>45100.000000000007</v>
      </c>
      <c r="N26" s="294" t="str">
        <f t="shared" si="8"/>
        <v/>
      </c>
      <c r="O26" s="733"/>
      <c r="P26" s="151">
        <f t="shared" si="9"/>
        <v>-2000</v>
      </c>
      <c r="Q26" s="152">
        <f t="shared" si="10"/>
        <v>7</v>
      </c>
      <c r="R26" s="47">
        <f t="shared" si="11"/>
        <v>7</v>
      </c>
      <c r="S26" s="47">
        <f t="shared" si="12"/>
        <v>7</v>
      </c>
      <c r="T26" s="47">
        <f t="shared" si="16"/>
        <v>7</v>
      </c>
      <c r="U26" s="47">
        <f t="shared" si="17"/>
        <v>7</v>
      </c>
      <c r="V26" s="153">
        <v>4000</v>
      </c>
      <c r="W26" s="464">
        <f t="shared" si="13"/>
        <v>45100.000000000007</v>
      </c>
    </row>
    <row r="27" spans="1:23" ht="17.100000000000001" customHeight="1">
      <c r="A27" s="109">
        <v>16000</v>
      </c>
      <c r="B27" s="504">
        <f>IF(C27="O","",RANK(W27,W$24:W$88,1)+COUNTIF($W$24:W27,W27)-1)</f>
        <v>24</v>
      </c>
      <c r="C27" s="446"/>
      <c r="D27" s="285" t="s">
        <v>30</v>
      </c>
      <c r="E27" s="286">
        <v>65000</v>
      </c>
      <c r="F27" s="287">
        <v>350</v>
      </c>
      <c r="G27" s="288" t="s">
        <v>18</v>
      </c>
      <c r="H27" s="286">
        <v>6000</v>
      </c>
      <c r="I27" s="289">
        <f t="shared" si="6"/>
        <v>16000</v>
      </c>
      <c r="J27" s="290">
        <f t="shared" si="7"/>
        <v>53900.000000000007</v>
      </c>
      <c r="K27" s="291">
        <f t="shared" si="14"/>
        <v>0</v>
      </c>
      <c r="L27" s="292">
        <v>0</v>
      </c>
      <c r="M27" s="293">
        <f t="shared" si="15"/>
        <v>53900.000000000007</v>
      </c>
      <c r="N27" s="294" t="str">
        <f t="shared" si="8"/>
        <v/>
      </c>
      <c r="O27" s="733"/>
      <c r="P27" s="151">
        <f t="shared" si="9"/>
        <v>-5500</v>
      </c>
      <c r="Q27" s="152">
        <f t="shared" si="10"/>
        <v>24</v>
      </c>
      <c r="R27" s="47">
        <f t="shared" si="11"/>
        <v>24</v>
      </c>
      <c r="S27" s="47">
        <f t="shared" si="12"/>
        <v>24</v>
      </c>
      <c r="T27" s="47">
        <f t="shared" si="16"/>
        <v>24</v>
      </c>
      <c r="U27" s="47">
        <f t="shared" si="17"/>
        <v>24</v>
      </c>
      <c r="V27" s="153">
        <v>4000</v>
      </c>
      <c r="W27" s="464">
        <f t="shared" si="13"/>
        <v>53900.000000000007</v>
      </c>
    </row>
    <row r="28" spans="1:23" ht="17.100000000000001" customHeight="1">
      <c r="A28" s="109">
        <v>18000</v>
      </c>
      <c r="B28" s="504">
        <f>IF(C28="O","",RANK(W28,W$24:W$88,1)+COUNTIF($W$24:W28,W28)-1)</f>
        <v>37</v>
      </c>
      <c r="C28" s="446"/>
      <c r="D28" s="285" t="s">
        <v>31</v>
      </c>
      <c r="E28" s="286">
        <v>75000</v>
      </c>
      <c r="F28" s="287">
        <v>450</v>
      </c>
      <c r="G28" s="288" t="s">
        <v>15</v>
      </c>
      <c r="H28" s="286">
        <v>10000</v>
      </c>
      <c r="I28" s="289">
        <f t="shared" si="6"/>
        <v>18000</v>
      </c>
      <c r="J28" s="290">
        <f t="shared" si="7"/>
        <v>62700.000000000007</v>
      </c>
      <c r="K28" s="291">
        <f t="shared" si="14"/>
        <v>0</v>
      </c>
      <c r="L28" s="292">
        <v>0</v>
      </c>
      <c r="M28" s="293">
        <f t="shared" si="15"/>
        <v>62700.000000000007</v>
      </c>
      <c r="N28" s="294" t="str">
        <f t="shared" si="8"/>
        <v/>
      </c>
      <c r="O28" s="733"/>
      <c r="P28" s="151">
        <f t="shared" si="9"/>
        <v>-9500</v>
      </c>
      <c r="Q28" s="152">
        <f t="shared" si="10"/>
        <v>37</v>
      </c>
      <c r="R28" s="47">
        <f t="shared" si="11"/>
        <v>37</v>
      </c>
      <c r="S28" s="47">
        <f t="shared" si="12"/>
        <v>37</v>
      </c>
      <c r="T28" s="47">
        <f t="shared" si="16"/>
        <v>37</v>
      </c>
      <c r="U28" s="47">
        <f t="shared" si="17"/>
        <v>37</v>
      </c>
      <c r="V28" s="153">
        <v>6000</v>
      </c>
      <c r="W28" s="464">
        <f t="shared" si="13"/>
        <v>62700.000000000007</v>
      </c>
    </row>
    <row r="29" spans="1:23" ht="17.100000000000001" customHeight="1">
      <c r="A29" s="109">
        <v>20000</v>
      </c>
      <c r="B29" s="504">
        <f>IF(C29="O","",RANK(W29,W$24:W$88,1)+COUNTIF($W$24:W29,W29)-1)</f>
        <v>46</v>
      </c>
      <c r="C29" s="446"/>
      <c r="D29" s="285" t="s">
        <v>33</v>
      </c>
      <c r="E29" s="286">
        <v>85000</v>
      </c>
      <c r="F29" s="287">
        <v>650</v>
      </c>
      <c r="G29" s="288" t="s">
        <v>15</v>
      </c>
      <c r="H29" s="286">
        <v>14000</v>
      </c>
      <c r="I29" s="289">
        <f t="shared" si="6"/>
        <v>20000</v>
      </c>
      <c r="J29" s="290">
        <f t="shared" si="7"/>
        <v>71500</v>
      </c>
      <c r="K29" s="291">
        <f t="shared" si="14"/>
        <v>0</v>
      </c>
      <c r="L29" s="292">
        <v>0</v>
      </c>
      <c r="M29" s="293">
        <f t="shared" si="15"/>
        <v>71500</v>
      </c>
      <c r="N29" s="294" t="str">
        <f t="shared" si="8"/>
        <v/>
      </c>
      <c r="O29" s="733"/>
      <c r="P29" s="151">
        <f t="shared" si="9"/>
        <v>-13500</v>
      </c>
      <c r="Q29" s="152">
        <f t="shared" si="10"/>
        <v>46</v>
      </c>
      <c r="R29" s="47">
        <f t="shared" si="11"/>
        <v>46</v>
      </c>
      <c r="S29" s="47">
        <f t="shared" si="12"/>
        <v>46</v>
      </c>
      <c r="T29" s="47">
        <f t="shared" si="16"/>
        <v>46</v>
      </c>
      <c r="U29" s="47">
        <f t="shared" si="17"/>
        <v>46</v>
      </c>
      <c r="V29" s="153">
        <v>6000</v>
      </c>
      <c r="W29" s="464">
        <f t="shared" si="13"/>
        <v>71500</v>
      </c>
    </row>
    <row r="30" spans="1:23" ht="17.100000000000001" customHeight="1">
      <c r="A30" s="109">
        <v>24000</v>
      </c>
      <c r="B30" s="504">
        <f>IF(C30="O","",RANK(W30,W$24:W$88,1)+COUNTIF($W$24:W30,W30)-1)</f>
        <v>53</v>
      </c>
      <c r="C30" s="446"/>
      <c r="D30" s="285" t="s">
        <v>35</v>
      </c>
      <c r="E30" s="286">
        <v>100000</v>
      </c>
      <c r="F30" s="287">
        <v>1050</v>
      </c>
      <c r="G30" s="288" t="s">
        <v>15</v>
      </c>
      <c r="H30" s="286">
        <v>20000</v>
      </c>
      <c r="I30" s="289">
        <f t="shared" si="6"/>
        <v>24000</v>
      </c>
      <c r="J30" s="290">
        <f t="shared" si="7"/>
        <v>83600</v>
      </c>
      <c r="K30" s="291">
        <f t="shared" si="14"/>
        <v>0</v>
      </c>
      <c r="L30" s="292">
        <f t="shared" ref="L30:L31" si="18">IF($F$10&lt;$G30,0,($F$10-G30)*20)</f>
        <v>0</v>
      </c>
      <c r="M30" s="293">
        <f t="shared" si="15"/>
        <v>83600</v>
      </c>
      <c r="N30" s="294" t="str">
        <f t="shared" si="8"/>
        <v/>
      </c>
      <c r="O30" s="733"/>
      <c r="P30" s="151">
        <f t="shared" si="9"/>
        <v>-19500</v>
      </c>
      <c r="Q30" s="152">
        <f t="shared" si="10"/>
        <v>53</v>
      </c>
      <c r="R30" s="47">
        <f t="shared" si="11"/>
        <v>53</v>
      </c>
      <c r="S30" s="47">
        <f t="shared" si="12"/>
        <v>53</v>
      </c>
      <c r="T30" s="47">
        <f t="shared" si="16"/>
        <v>53</v>
      </c>
      <c r="U30" s="47">
        <f t="shared" si="17"/>
        <v>53</v>
      </c>
      <c r="V30" s="153">
        <v>10000</v>
      </c>
      <c r="W30" s="464">
        <f t="shared" si="13"/>
        <v>83600</v>
      </c>
    </row>
    <row r="31" spans="1:23" ht="17.100000000000001" customHeight="1" thickBot="1">
      <c r="A31" s="109">
        <v>30000</v>
      </c>
      <c r="B31" s="504">
        <f>IF(C31="O","",RANK(W31,W$24:W$88,1)+COUNTIF($W$24:W31,W31)-1)</f>
        <v>57</v>
      </c>
      <c r="C31" s="451"/>
      <c r="D31" s="295" t="s">
        <v>36</v>
      </c>
      <c r="E31" s="296">
        <v>125000</v>
      </c>
      <c r="F31" s="297">
        <v>1250</v>
      </c>
      <c r="G31" s="298" t="s">
        <v>15</v>
      </c>
      <c r="H31" s="296">
        <v>25000</v>
      </c>
      <c r="I31" s="299">
        <f t="shared" si="6"/>
        <v>30000</v>
      </c>
      <c r="J31" s="300">
        <f t="shared" si="7"/>
        <v>104500.00000000001</v>
      </c>
      <c r="K31" s="301">
        <f t="shared" si="14"/>
        <v>0</v>
      </c>
      <c r="L31" s="302">
        <f t="shared" si="18"/>
        <v>0</v>
      </c>
      <c r="M31" s="303">
        <f t="shared" si="15"/>
        <v>104500.00000000001</v>
      </c>
      <c r="N31" s="304" t="str">
        <f t="shared" si="8"/>
        <v/>
      </c>
      <c r="O31" s="733"/>
      <c r="P31" s="151">
        <f t="shared" si="9"/>
        <v>-24500</v>
      </c>
      <c r="Q31" s="152">
        <f t="shared" si="10"/>
        <v>57</v>
      </c>
      <c r="R31" s="47">
        <f t="shared" si="11"/>
        <v>57</v>
      </c>
      <c r="S31" s="47">
        <f t="shared" si="12"/>
        <v>57</v>
      </c>
      <c r="T31" s="47">
        <f t="shared" si="16"/>
        <v>57</v>
      </c>
      <c r="U31" s="47">
        <f t="shared" si="17"/>
        <v>57</v>
      </c>
      <c r="V31" s="153">
        <v>10000</v>
      </c>
      <c r="W31" s="464">
        <f t="shared" si="13"/>
        <v>104500.00000000001</v>
      </c>
    </row>
    <row r="32" spans="1:23" ht="17.100000000000001" customHeight="1">
      <c r="A32" s="109">
        <v>16000</v>
      </c>
      <c r="B32" s="504">
        <f>IF(C32="O","",RANK(W32,W$24:W$88,1)+COUNTIF($W$24:W32,W32)-1)</f>
        <v>31</v>
      </c>
      <c r="C32" s="445"/>
      <c r="D32" s="305" t="s">
        <v>50</v>
      </c>
      <c r="E32" s="306">
        <v>67000</v>
      </c>
      <c r="F32" s="307" t="s">
        <v>38</v>
      </c>
      <c r="G32" s="308" t="s">
        <v>15</v>
      </c>
      <c r="H32" s="306">
        <v>5000</v>
      </c>
      <c r="I32" s="309">
        <f t="shared" si="6"/>
        <v>16000</v>
      </c>
      <c r="J32" s="310">
        <f t="shared" si="7"/>
        <v>56100.000000000007</v>
      </c>
      <c r="K32" s="311">
        <f t="shared" ref="K32:K36" si="19">IF(F$8*(100-F$9)/100&lt;F32,0,((F$8*(100-F$9)/100)-F32)*60*1.8)</f>
        <v>0</v>
      </c>
      <c r="L32" s="312">
        <v>0</v>
      </c>
      <c r="M32" s="313">
        <f t="shared" si="15"/>
        <v>56100.000000000007</v>
      </c>
      <c r="N32" s="314" t="str">
        <f t="shared" si="8"/>
        <v/>
      </c>
      <c r="O32" s="728" t="s">
        <v>234</v>
      </c>
      <c r="P32" s="151">
        <f t="shared" si="9"/>
        <v>-4500</v>
      </c>
      <c r="Q32" s="152">
        <f t="shared" si="10"/>
        <v>31</v>
      </c>
      <c r="R32" s="47">
        <f t="shared" si="11"/>
        <v>31</v>
      </c>
      <c r="S32" s="47">
        <f t="shared" si="12"/>
        <v>31</v>
      </c>
      <c r="T32" s="47">
        <f t="shared" si="16"/>
        <v>31</v>
      </c>
      <c r="U32" s="47">
        <f t="shared" si="17"/>
        <v>31</v>
      </c>
      <c r="V32" s="153">
        <v>4000</v>
      </c>
      <c r="W32" s="464">
        <f t="shared" si="13"/>
        <v>56100.000000000007</v>
      </c>
    </row>
    <row r="33" spans="1:23" ht="17.100000000000001" customHeight="1">
      <c r="A33" s="109">
        <v>18000</v>
      </c>
      <c r="B33" s="504">
        <f>IF(C33="O","",RANK(W33,W$24:W$88,1)+COUNTIF($W$24:W33,W33)-1)</f>
        <v>41</v>
      </c>
      <c r="C33" s="446"/>
      <c r="D33" s="285" t="s">
        <v>32</v>
      </c>
      <c r="E33" s="286">
        <v>77000</v>
      </c>
      <c r="F33" s="315" t="s">
        <v>39</v>
      </c>
      <c r="G33" s="288" t="s">
        <v>15</v>
      </c>
      <c r="H33" s="286">
        <v>9000</v>
      </c>
      <c r="I33" s="289">
        <f t="shared" si="6"/>
        <v>18000</v>
      </c>
      <c r="J33" s="290">
        <f t="shared" si="7"/>
        <v>64900.000000000007</v>
      </c>
      <c r="K33" s="291">
        <f t="shared" si="19"/>
        <v>0</v>
      </c>
      <c r="L33" s="292">
        <v>0</v>
      </c>
      <c r="M33" s="293">
        <f t="shared" si="15"/>
        <v>64900.000000000007</v>
      </c>
      <c r="N33" s="294" t="str">
        <f t="shared" si="8"/>
        <v/>
      </c>
      <c r="O33" s="729"/>
      <c r="P33" s="151">
        <f t="shared" si="9"/>
        <v>-8500</v>
      </c>
      <c r="Q33" s="152">
        <f t="shared" si="10"/>
        <v>41</v>
      </c>
      <c r="R33" s="47">
        <f t="shared" si="11"/>
        <v>41</v>
      </c>
      <c r="S33" s="47">
        <f t="shared" si="12"/>
        <v>41</v>
      </c>
      <c r="T33" s="47">
        <f t="shared" si="16"/>
        <v>41</v>
      </c>
      <c r="U33" s="47">
        <f t="shared" si="17"/>
        <v>41</v>
      </c>
      <c r="V33" s="153">
        <v>6000</v>
      </c>
      <c r="W33" s="464">
        <f t="shared" si="13"/>
        <v>64900.000000000007</v>
      </c>
    </row>
    <row r="34" spans="1:23" ht="17.100000000000001" customHeight="1" thickBot="1">
      <c r="A34" s="109">
        <v>20000</v>
      </c>
      <c r="B34" s="504">
        <f>IF(C34="O","",RANK(W34,W$24:W$88,1)+COUNTIF($W$24:W34,W34)-1)</f>
        <v>56</v>
      </c>
      <c r="C34" s="459"/>
      <c r="D34" s="316" t="s">
        <v>34</v>
      </c>
      <c r="E34" s="317">
        <v>97000</v>
      </c>
      <c r="F34" s="318" t="s">
        <v>39</v>
      </c>
      <c r="G34" s="319" t="s">
        <v>15</v>
      </c>
      <c r="H34" s="317">
        <v>17000</v>
      </c>
      <c r="I34" s="320">
        <f t="shared" si="6"/>
        <v>20000</v>
      </c>
      <c r="J34" s="321">
        <f t="shared" si="7"/>
        <v>84700</v>
      </c>
      <c r="K34" s="322">
        <f t="shared" si="19"/>
        <v>0</v>
      </c>
      <c r="L34" s="323">
        <v>0</v>
      </c>
      <c r="M34" s="324">
        <f t="shared" si="15"/>
        <v>84700</v>
      </c>
      <c r="N34" s="325" t="str">
        <f t="shared" si="8"/>
        <v/>
      </c>
      <c r="O34" s="730"/>
      <c r="P34" s="151">
        <f t="shared" si="9"/>
        <v>-16500</v>
      </c>
      <c r="Q34" s="152">
        <f t="shared" si="10"/>
        <v>56</v>
      </c>
      <c r="R34" s="47">
        <f t="shared" si="11"/>
        <v>56</v>
      </c>
      <c r="S34" s="47">
        <f t="shared" si="12"/>
        <v>56</v>
      </c>
      <c r="T34" s="47">
        <f t="shared" si="16"/>
        <v>56</v>
      </c>
      <c r="U34" s="47">
        <f t="shared" si="17"/>
        <v>56</v>
      </c>
      <c r="V34" s="153">
        <v>8000</v>
      </c>
      <c r="W34" s="464">
        <f t="shared" si="13"/>
        <v>84700</v>
      </c>
    </row>
    <row r="35" spans="1:23" ht="17.100000000000001" customHeight="1">
      <c r="A35" s="109">
        <v>18000</v>
      </c>
      <c r="B35" s="504">
        <f>IF(C35="O","",RANK(W35,W$24:W$88,1)+COUNTIF($W$24:W35,W35)-1)</f>
        <v>44</v>
      </c>
      <c r="C35" s="455"/>
      <c r="D35" s="326" t="s">
        <v>233</v>
      </c>
      <c r="E35" s="327">
        <v>79000</v>
      </c>
      <c r="F35" s="328" t="s">
        <v>38</v>
      </c>
      <c r="G35" s="329" t="s">
        <v>15</v>
      </c>
      <c r="H35" s="330" t="s">
        <v>15</v>
      </c>
      <c r="I35" s="331">
        <f t="shared" si="6"/>
        <v>18000</v>
      </c>
      <c r="J35" s="280">
        <f t="shared" si="7"/>
        <v>67100</v>
      </c>
      <c r="K35" s="281">
        <f t="shared" si="19"/>
        <v>0</v>
      </c>
      <c r="L35" s="282">
        <v>0</v>
      </c>
      <c r="M35" s="283">
        <f t="shared" si="15"/>
        <v>67100</v>
      </c>
      <c r="N35" s="284" t="str">
        <f t="shared" si="8"/>
        <v/>
      </c>
      <c r="O35" s="731" t="s">
        <v>235</v>
      </c>
      <c r="P35" s="151">
        <v>1</v>
      </c>
      <c r="Q35" s="152">
        <f t="shared" si="10"/>
        <v>44</v>
      </c>
      <c r="R35" s="47">
        <f t="shared" si="11"/>
        <v>44</v>
      </c>
      <c r="S35" s="47">
        <f t="shared" si="12"/>
        <v>44</v>
      </c>
      <c r="T35" s="47">
        <f t="shared" si="16"/>
        <v>44</v>
      </c>
      <c r="U35" s="47">
        <f t="shared" si="17"/>
        <v>44</v>
      </c>
      <c r="V35" s="153">
        <v>8000</v>
      </c>
      <c r="W35" s="464">
        <f t="shared" si="13"/>
        <v>67100</v>
      </c>
    </row>
    <row r="36" spans="1:23" ht="17.100000000000001" customHeight="1" thickBot="1">
      <c r="A36" s="110">
        <v>30000</v>
      </c>
      <c r="B36" s="504">
        <f>IF(C36="O","",RANK(W36,W$24:W$88,1)+COUNTIF($W$24:W36,W36)-1)</f>
        <v>59</v>
      </c>
      <c r="C36" s="452"/>
      <c r="D36" s="332" t="s">
        <v>37</v>
      </c>
      <c r="E36" s="333">
        <v>129000</v>
      </c>
      <c r="F36" s="334" t="s">
        <v>40</v>
      </c>
      <c r="G36" s="298" t="s">
        <v>15</v>
      </c>
      <c r="H36" s="335" t="s">
        <v>65</v>
      </c>
      <c r="I36" s="299">
        <f t="shared" si="6"/>
        <v>30000</v>
      </c>
      <c r="J36" s="300">
        <f t="shared" si="7"/>
        <v>108900.00000000001</v>
      </c>
      <c r="K36" s="301">
        <f t="shared" si="19"/>
        <v>0</v>
      </c>
      <c r="L36" s="302">
        <f t="shared" ref="L36:L83" si="20">IF($F$10&lt;$G36,0,($F$10-G36)*20)</f>
        <v>0</v>
      </c>
      <c r="M36" s="303">
        <f t="shared" si="15"/>
        <v>108900.00000000001</v>
      </c>
      <c r="N36" s="304" t="str">
        <f t="shared" si="8"/>
        <v/>
      </c>
      <c r="O36" s="732"/>
      <c r="P36" s="151">
        <v>1</v>
      </c>
      <c r="Q36" s="152">
        <f t="shared" si="10"/>
        <v>59</v>
      </c>
      <c r="R36" s="47">
        <f t="shared" si="11"/>
        <v>59</v>
      </c>
      <c r="S36" s="47">
        <f t="shared" si="12"/>
        <v>59</v>
      </c>
      <c r="T36" s="47">
        <f t="shared" si="16"/>
        <v>59</v>
      </c>
      <c r="U36" s="47">
        <f t="shared" si="17"/>
        <v>59</v>
      </c>
      <c r="V36" s="154">
        <v>10000</v>
      </c>
      <c r="W36" s="464">
        <f t="shared" si="13"/>
        <v>108900.00000000001</v>
      </c>
    </row>
    <row r="37" spans="1:23" ht="17.100000000000001" customHeight="1">
      <c r="A37" s="111">
        <v>7000</v>
      </c>
      <c r="B37" s="504">
        <f>IF(C37="O","",RANK(W37,W$24:W$88,1)+COUNTIF($W$24:W37,W37)-1)</f>
        <v>12</v>
      </c>
      <c r="C37" s="460"/>
      <c r="D37" s="275" t="s">
        <v>41</v>
      </c>
      <c r="E37" s="276">
        <v>34000</v>
      </c>
      <c r="F37" s="277">
        <v>160</v>
      </c>
      <c r="G37" s="336">
        <v>200</v>
      </c>
      <c r="H37" s="276">
        <v>750</v>
      </c>
      <c r="I37" s="279">
        <f t="shared" si="6"/>
        <v>7000</v>
      </c>
      <c r="J37" s="280">
        <f t="shared" si="7"/>
        <v>29700.000000000004</v>
      </c>
      <c r="K37" s="281">
        <f>IF(F$8&lt;F37,0,((F$8-F37)*60*1.8))*IF($N$10="O",0.65,1)</f>
        <v>15228</v>
      </c>
      <c r="L37" s="282">
        <f>IF($F$10&lt;$G37,0,($F$10-G37)*20)*IF($N$10="O",0.65,1)</f>
        <v>20</v>
      </c>
      <c r="M37" s="283">
        <f t="shared" si="15"/>
        <v>46472.800000000003</v>
      </c>
      <c r="N37" s="284" t="str">
        <f t="shared" si="8"/>
        <v/>
      </c>
      <c r="O37" s="723" t="s">
        <v>51</v>
      </c>
      <c r="P37" s="151">
        <f t="shared" ref="P37:P47" si="21">$F$11-H37</f>
        <v>-250</v>
      </c>
      <c r="Q37" s="152">
        <f t="shared" si="10"/>
        <v>12</v>
      </c>
      <c r="R37" s="47">
        <f t="shared" si="11"/>
        <v>12</v>
      </c>
      <c r="S37" s="47">
        <f t="shared" si="12"/>
        <v>12</v>
      </c>
      <c r="T37" s="47">
        <f t="shared" si="16"/>
        <v>12</v>
      </c>
      <c r="U37" s="47">
        <f t="shared" si="17"/>
        <v>12</v>
      </c>
      <c r="V37" s="153">
        <v>1500</v>
      </c>
      <c r="W37" s="464">
        <f t="shared" si="13"/>
        <v>46472.800000000003</v>
      </c>
    </row>
    <row r="38" spans="1:23" ht="17.100000000000001" customHeight="1">
      <c r="A38" s="111">
        <v>11000</v>
      </c>
      <c r="B38" s="504">
        <f>IF(C38="O","",RANK(W38,W$24:W$88,1)+COUNTIF($W$24:W38,W38)-1)</f>
        <v>10</v>
      </c>
      <c r="C38" s="447"/>
      <c r="D38" s="285" t="s">
        <v>42</v>
      </c>
      <c r="E38" s="286">
        <v>42000</v>
      </c>
      <c r="F38" s="287">
        <v>200</v>
      </c>
      <c r="G38" s="337">
        <v>200</v>
      </c>
      <c r="H38" s="286">
        <v>1500</v>
      </c>
      <c r="I38" s="289">
        <f t="shared" si="6"/>
        <v>11000</v>
      </c>
      <c r="J38" s="290">
        <f t="shared" si="7"/>
        <v>34100</v>
      </c>
      <c r="K38" s="291">
        <f t="shared" ref="K38:K41" si="22">IF(F$8&lt;F38,0,((F$8-F38)*60*1.8))*IF($N$10="O",0.65,1)</f>
        <v>10908</v>
      </c>
      <c r="L38" s="292">
        <f t="shared" ref="L38:L41" si="23">IF($F$10&lt;$G38,0,($F$10-G38)*20)*IF($N$10="O",0.65,1)</f>
        <v>20</v>
      </c>
      <c r="M38" s="293">
        <f t="shared" si="15"/>
        <v>46120.800000000003</v>
      </c>
      <c r="N38" s="294" t="str">
        <f t="shared" si="8"/>
        <v/>
      </c>
      <c r="O38" s="724"/>
      <c r="P38" s="151">
        <f t="shared" si="21"/>
        <v>-1000</v>
      </c>
      <c r="Q38" s="152">
        <f t="shared" si="10"/>
        <v>10</v>
      </c>
      <c r="R38" s="47">
        <f t="shared" si="11"/>
        <v>10</v>
      </c>
      <c r="S38" s="47">
        <f t="shared" si="12"/>
        <v>10</v>
      </c>
      <c r="T38" s="47">
        <f t="shared" si="16"/>
        <v>10</v>
      </c>
      <c r="U38" s="47">
        <f t="shared" si="17"/>
        <v>10</v>
      </c>
      <c r="V38" s="153">
        <v>2500</v>
      </c>
      <c r="W38" s="464">
        <f t="shared" si="13"/>
        <v>46120.800000000003</v>
      </c>
    </row>
    <row r="39" spans="1:23" ht="17.100000000000001" customHeight="1">
      <c r="A39" s="111">
        <v>14000</v>
      </c>
      <c r="B39" s="504">
        <f>IF(C39="O","",RANK(W39,W$24:W$88,1)+COUNTIF($W$24:W39,W39)-1)</f>
        <v>15</v>
      </c>
      <c r="C39" s="447"/>
      <c r="D39" s="285" t="s">
        <v>43</v>
      </c>
      <c r="E39" s="286">
        <v>52000</v>
      </c>
      <c r="F39" s="287">
        <v>250</v>
      </c>
      <c r="G39" s="337">
        <v>250</v>
      </c>
      <c r="H39" s="286">
        <v>2500</v>
      </c>
      <c r="I39" s="289">
        <f t="shared" si="6"/>
        <v>14000</v>
      </c>
      <c r="J39" s="290">
        <f t="shared" si="7"/>
        <v>41800</v>
      </c>
      <c r="K39" s="291">
        <f t="shared" si="22"/>
        <v>5508</v>
      </c>
      <c r="L39" s="292">
        <f t="shared" si="23"/>
        <v>0</v>
      </c>
      <c r="M39" s="293">
        <f t="shared" si="15"/>
        <v>47858.8</v>
      </c>
      <c r="N39" s="294" t="str">
        <f t="shared" si="8"/>
        <v/>
      </c>
      <c r="O39" s="724"/>
      <c r="P39" s="151">
        <f t="shared" si="21"/>
        <v>-2000</v>
      </c>
      <c r="Q39" s="152">
        <f t="shared" si="10"/>
        <v>15</v>
      </c>
      <c r="R39" s="47">
        <f t="shared" si="11"/>
        <v>15</v>
      </c>
      <c r="S39" s="47">
        <f t="shared" si="12"/>
        <v>15</v>
      </c>
      <c r="T39" s="47">
        <f t="shared" si="16"/>
        <v>15</v>
      </c>
      <c r="U39" s="47">
        <f t="shared" si="17"/>
        <v>15</v>
      </c>
      <c r="V39" s="153">
        <v>4000</v>
      </c>
      <c r="W39" s="464">
        <f t="shared" si="13"/>
        <v>47858.8</v>
      </c>
    </row>
    <row r="40" spans="1:23" ht="17.100000000000001" customHeight="1">
      <c r="A40" s="111">
        <v>16000</v>
      </c>
      <c r="B40" s="504">
        <f>IF(C40="O","",RANK(W40,W$24:W$88,1)+COUNTIF($W$24:W40,W40)-1)</f>
        <v>18</v>
      </c>
      <c r="C40" s="447"/>
      <c r="D40" s="285" t="s">
        <v>44</v>
      </c>
      <c r="E40" s="286">
        <v>62000</v>
      </c>
      <c r="F40" s="287">
        <v>350</v>
      </c>
      <c r="G40" s="337">
        <v>350</v>
      </c>
      <c r="H40" s="286">
        <v>6000</v>
      </c>
      <c r="I40" s="338">
        <f t="shared" si="6"/>
        <v>16000</v>
      </c>
      <c r="J40" s="339">
        <f t="shared" si="7"/>
        <v>50600.000000000007</v>
      </c>
      <c r="K40" s="291">
        <f t="shared" si="22"/>
        <v>0</v>
      </c>
      <c r="L40" s="292">
        <f t="shared" si="23"/>
        <v>0</v>
      </c>
      <c r="M40" s="293">
        <f t="shared" si="15"/>
        <v>50600.000000000007</v>
      </c>
      <c r="N40" s="340" t="str">
        <f t="shared" si="8"/>
        <v/>
      </c>
      <c r="O40" s="724"/>
      <c r="P40" s="604">
        <f t="shared" si="21"/>
        <v>-5500</v>
      </c>
      <c r="Q40" s="152">
        <f t="shared" si="10"/>
        <v>18</v>
      </c>
      <c r="R40" s="47">
        <f t="shared" si="11"/>
        <v>18</v>
      </c>
      <c r="S40" s="47">
        <f t="shared" si="12"/>
        <v>18</v>
      </c>
      <c r="T40" s="47">
        <f t="shared" si="16"/>
        <v>18</v>
      </c>
      <c r="U40" s="47">
        <f t="shared" si="17"/>
        <v>18</v>
      </c>
      <c r="V40" s="153">
        <v>4000</v>
      </c>
      <c r="W40" s="464">
        <f t="shared" si="13"/>
        <v>50600.000000000007</v>
      </c>
    </row>
    <row r="41" spans="1:23" ht="17.100000000000001" customHeight="1" thickBot="1">
      <c r="A41" s="111">
        <v>18000</v>
      </c>
      <c r="B41" s="504">
        <f>IF(C41="O","",RANK(W41,W$24:W$88,1)+COUNTIF($W$24:W41,W41)-1)</f>
        <v>35</v>
      </c>
      <c r="C41" s="461"/>
      <c r="D41" s="295" t="s">
        <v>45</v>
      </c>
      <c r="E41" s="296">
        <v>72000</v>
      </c>
      <c r="F41" s="297">
        <v>450</v>
      </c>
      <c r="G41" s="341">
        <v>450</v>
      </c>
      <c r="H41" s="296">
        <v>10000</v>
      </c>
      <c r="I41" s="342">
        <f t="shared" si="6"/>
        <v>18000</v>
      </c>
      <c r="J41" s="343">
        <f t="shared" si="7"/>
        <v>59400.000000000007</v>
      </c>
      <c r="K41" s="322">
        <f t="shared" si="22"/>
        <v>0</v>
      </c>
      <c r="L41" s="323">
        <f t="shared" si="23"/>
        <v>0</v>
      </c>
      <c r="M41" s="324">
        <f t="shared" si="15"/>
        <v>59400.000000000007</v>
      </c>
      <c r="N41" s="344" t="str">
        <f t="shared" si="8"/>
        <v/>
      </c>
      <c r="O41" s="725"/>
      <c r="P41" s="604">
        <f t="shared" si="21"/>
        <v>-9500</v>
      </c>
      <c r="Q41" s="152">
        <f t="shared" si="10"/>
        <v>35</v>
      </c>
      <c r="R41" s="47">
        <f t="shared" si="11"/>
        <v>35</v>
      </c>
      <c r="S41" s="47">
        <f t="shared" si="12"/>
        <v>35</v>
      </c>
      <c r="T41" s="47">
        <f t="shared" si="16"/>
        <v>35</v>
      </c>
      <c r="U41" s="47">
        <f t="shared" si="17"/>
        <v>35</v>
      </c>
      <c r="V41" s="153">
        <v>6000</v>
      </c>
      <c r="W41" s="464">
        <f t="shared" si="13"/>
        <v>59400.000000000007</v>
      </c>
    </row>
    <row r="42" spans="1:23" ht="17.100000000000001" customHeight="1">
      <c r="A42" s="111">
        <v>14000</v>
      </c>
      <c r="B42" s="504">
        <f>IF(C42="O","",RANK(W42,W$24:W$88,1)+COUNTIF($W$24:W42,W42)-1)</f>
        <v>8</v>
      </c>
      <c r="C42" s="456"/>
      <c r="D42" s="305" t="s">
        <v>52</v>
      </c>
      <c r="E42" s="306">
        <v>55000</v>
      </c>
      <c r="F42" s="345">
        <v>250</v>
      </c>
      <c r="G42" s="346">
        <v>250</v>
      </c>
      <c r="H42" s="306">
        <v>2500</v>
      </c>
      <c r="I42" s="347">
        <f t="shared" si="6"/>
        <v>14000</v>
      </c>
      <c r="J42" s="348">
        <f t="shared" si="7"/>
        <v>45100.000000000007</v>
      </c>
      <c r="K42" s="349">
        <f>IF(IF($I$8-3000&gt;0,$I$8-3000,0)+$I$9-F42&gt;0,IF($I$8-3000&gt;0,$I$8-3000,0)+$I$9-F42,0)*60*1.8*IF($N$10="O",0.65,1)</f>
        <v>0</v>
      </c>
      <c r="L42" s="282">
        <f>IF($F$10&lt;$G42,0,($F$10-G42)*20)*IF($N$10="O",0.65,1)</f>
        <v>0</v>
      </c>
      <c r="M42" s="283">
        <f t="shared" si="15"/>
        <v>45100.000000000007</v>
      </c>
      <c r="N42" s="350" t="str">
        <f t="shared" si="8"/>
        <v/>
      </c>
      <c r="O42" s="723" t="s">
        <v>73</v>
      </c>
      <c r="P42" s="604">
        <f t="shared" si="21"/>
        <v>-2000</v>
      </c>
      <c r="Q42" s="152">
        <f t="shared" si="10"/>
        <v>8</v>
      </c>
      <c r="R42" s="47">
        <f t="shared" si="11"/>
        <v>8</v>
      </c>
      <c r="S42" s="47">
        <f t="shared" si="12"/>
        <v>8</v>
      </c>
      <c r="T42" s="47">
        <f t="shared" si="16"/>
        <v>8</v>
      </c>
      <c r="U42" s="47">
        <f t="shared" si="17"/>
        <v>8</v>
      </c>
      <c r="V42" s="153">
        <v>4000</v>
      </c>
      <c r="W42" s="464">
        <f t="shared" si="13"/>
        <v>45100.000000000007</v>
      </c>
    </row>
    <row r="43" spans="1:23" ht="17.100000000000001" customHeight="1">
      <c r="A43" s="111">
        <v>16000</v>
      </c>
      <c r="B43" s="504">
        <f>IF(C43="O","",RANK(W43,W$24:W$88,1)+COUNTIF($W$24:W43,W43)-1)</f>
        <v>25</v>
      </c>
      <c r="C43" s="447"/>
      <c r="D43" s="285" t="s">
        <v>53</v>
      </c>
      <c r="E43" s="286">
        <v>65000</v>
      </c>
      <c r="F43" s="287">
        <v>350</v>
      </c>
      <c r="G43" s="351">
        <v>350</v>
      </c>
      <c r="H43" s="286">
        <v>6000</v>
      </c>
      <c r="I43" s="338">
        <f t="shared" si="6"/>
        <v>16000</v>
      </c>
      <c r="J43" s="339">
        <f t="shared" si="7"/>
        <v>53900.000000000007</v>
      </c>
      <c r="K43" s="352">
        <f t="shared" ref="K43:K46" si="24">IF(IF($I$8-3000&gt;0,$I$8-3000,0)+$I$9-F43&gt;0,IF($I$8-3000&gt;0,$I$8-3000,0)+$I$9-F43,0)*60*1.8*IF($N$10="O",0.65,1)</f>
        <v>0</v>
      </c>
      <c r="L43" s="292">
        <f t="shared" ref="L43:L46" si="25">IF($F$10&lt;$G43,0,($F$10-G43)*20)*IF($N$10="O",0.65,1)</f>
        <v>0</v>
      </c>
      <c r="M43" s="293">
        <f t="shared" si="15"/>
        <v>53900.000000000007</v>
      </c>
      <c r="N43" s="340" t="str">
        <f t="shared" si="8"/>
        <v/>
      </c>
      <c r="O43" s="724"/>
      <c r="P43" s="604">
        <f t="shared" si="21"/>
        <v>-5500</v>
      </c>
      <c r="Q43" s="152">
        <f t="shared" si="10"/>
        <v>25</v>
      </c>
      <c r="R43" s="47">
        <f t="shared" si="11"/>
        <v>25</v>
      </c>
      <c r="S43" s="47">
        <f t="shared" si="12"/>
        <v>25</v>
      </c>
      <c r="T43" s="47">
        <f t="shared" si="16"/>
        <v>25</v>
      </c>
      <c r="U43" s="47">
        <f t="shared" si="17"/>
        <v>25</v>
      </c>
      <c r="V43" s="153">
        <v>4000</v>
      </c>
      <c r="W43" s="464">
        <f t="shared" si="13"/>
        <v>53900.000000000007</v>
      </c>
    </row>
    <row r="44" spans="1:23" ht="17.100000000000001" customHeight="1">
      <c r="A44" s="111">
        <v>18000</v>
      </c>
      <c r="B44" s="504">
        <f>IF(C44="O","",RANK(W44,W$24:W$88,1)+COUNTIF($W$24:W44,W44)-1)</f>
        <v>38</v>
      </c>
      <c r="C44" s="447"/>
      <c r="D44" s="285" t="s">
        <v>54</v>
      </c>
      <c r="E44" s="286">
        <v>75000</v>
      </c>
      <c r="F44" s="287">
        <v>450</v>
      </c>
      <c r="G44" s="351">
        <v>450</v>
      </c>
      <c r="H44" s="286">
        <v>10000</v>
      </c>
      <c r="I44" s="338">
        <f t="shared" si="6"/>
        <v>18000</v>
      </c>
      <c r="J44" s="339">
        <f t="shared" si="7"/>
        <v>62700.000000000007</v>
      </c>
      <c r="K44" s="352">
        <f t="shared" si="24"/>
        <v>0</v>
      </c>
      <c r="L44" s="292">
        <f t="shared" si="25"/>
        <v>0</v>
      </c>
      <c r="M44" s="293">
        <f t="shared" si="15"/>
        <v>62700.000000000007</v>
      </c>
      <c r="N44" s="340" t="str">
        <f t="shared" si="8"/>
        <v/>
      </c>
      <c r="O44" s="724"/>
      <c r="P44" s="604">
        <f t="shared" si="21"/>
        <v>-9500</v>
      </c>
      <c r="Q44" s="152">
        <f t="shared" si="10"/>
        <v>38</v>
      </c>
      <c r="R44" s="47">
        <f t="shared" si="11"/>
        <v>38</v>
      </c>
      <c r="S44" s="47">
        <f t="shared" si="12"/>
        <v>38</v>
      </c>
      <c r="T44" s="47">
        <f t="shared" si="16"/>
        <v>38</v>
      </c>
      <c r="U44" s="47">
        <f t="shared" si="17"/>
        <v>38</v>
      </c>
      <c r="V44" s="153">
        <v>6000</v>
      </c>
      <c r="W44" s="464">
        <f t="shared" si="13"/>
        <v>62700.000000000007</v>
      </c>
    </row>
    <row r="45" spans="1:23" ht="17.100000000000001" customHeight="1">
      <c r="A45" s="111">
        <v>20000</v>
      </c>
      <c r="B45" s="504">
        <f>IF(C45="O","",RANK(W45,W$24:W$88,1)+COUNTIF($W$24:W45,W45)-1)</f>
        <v>47</v>
      </c>
      <c r="C45" s="447"/>
      <c r="D45" s="353" t="s">
        <v>55</v>
      </c>
      <c r="E45" s="337">
        <v>85000</v>
      </c>
      <c r="F45" s="354">
        <v>650</v>
      </c>
      <c r="G45" s="337">
        <v>650</v>
      </c>
      <c r="H45" s="286">
        <v>14000</v>
      </c>
      <c r="I45" s="338">
        <f t="shared" si="6"/>
        <v>20000</v>
      </c>
      <c r="J45" s="339">
        <f t="shared" si="7"/>
        <v>71500</v>
      </c>
      <c r="K45" s="352">
        <f t="shared" si="24"/>
        <v>0</v>
      </c>
      <c r="L45" s="292">
        <f t="shared" si="25"/>
        <v>0</v>
      </c>
      <c r="M45" s="293">
        <f t="shared" si="15"/>
        <v>71500</v>
      </c>
      <c r="N45" s="340" t="str">
        <f t="shared" si="8"/>
        <v/>
      </c>
      <c r="O45" s="724"/>
      <c r="P45" s="604">
        <f t="shared" si="21"/>
        <v>-13500</v>
      </c>
      <c r="Q45" s="152">
        <f t="shared" si="10"/>
        <v>47</v>
      </c>
      <c r="R45" s="47">
        <f t="shared" si="11"/>
        <v>47</v>
      </c>
      <c r="S45" s="47">
        <f t="shared" si="12"/>
        <v>47</v>
      </c>
      <c r="T45" s="47">
        <f t="shared" si="16"/>
        <v>47</v>
      </c>
      <c r="U45" s="47">
        <f t="shared" si="17"/>
        <v>47</v>
      </c>
      <c r="V45" s="153">
        <v>6000</v>
      </c>
      <c r="W45" s="464">
        <f t="shared" si="13"/>
        <v>71500</v>
      </c>
    </row>
    <row r="46" spans="1:23" ht="17.100000000000001" customHeight="1">
      <c r="A46" s="111">
        <v>24000</v>
      </c>
      <c r="B46" s="504">
        <f>IF(C46="O","",RANK(W46,W$24:W$88,1)+COUNTIF($W$24:W46,W46)-1)</f>
        <v>54</v>
      </c>
      <c r="C46" s="447"/>
      <c r="D46" s="353" t="s">
        <v>56</v>
      </c>
      <c r="E46" s="337">
        <v>100000</v>
      </c>
      <c r="F46" s="354">
        <v>1050</v>
      </c>
      <c r="G46" s="337">
        <v>1050</v>
      </c>
      <c r="H46" s="286">
        <v>20000</v>
      </c>
      <c r="I46" s="338">
        <f t="shared" si="6"/>
        <v>24000</v>
      </c>
      <c r="J46" s="339">
        <f t="shared" si="7"/>
        <v>83600</v>
      </c>
      <c r="K46" s="355">
        <f t="shared" si="24"/>
        <v>0</v>
      </c>
      <c r="L46" s="292">
        <f t="shared" si="25"/>
        <v>0</v>
      </c>
      <c r="M46" s="293">
        <f t="shared" si="15"/>
        <v>83600</v>
      </c>
      <c r="N46" s="340" t="str">
        <f t="shared" si="8"/>
        <v/>
      </c>
      <c r="O46" s="724"/>
      <c r="P46" s="604">
        <f t="shared" si="21"/>
        <v>-19500</v>
      </c>
      <c r="Q46" s="152">
        <f t="shared" si="10"/>
        <v>54</v>
      </c>
      <c r="R46" s="47">
        <f t="shared" si="11"/>
        <v>54</v>
      </c>
      <c r="S46" s="47">
        <f t="shared" si="12"/>
        <v>54</v>
      </c>
      <c r="T46" s="47">
        <f t="shared" si="16"/>
        <v>54</v>
      </c>
      <c r="U46" s="47">
        <f t="shared" si="17"/>
        <v>54</v>
      </c>
      <c r="V46" s="153">
        <v>10000</v>
      </c>
      <c r="W46" s="464">
        <f t="shared" si="13"/>
        <v>83600</v>
      </c>
    </row>
    <row r="47" spans="1:23" ht="17.100000000000001" customHeight="1" thickBot="1">
      <c r="A47" s="111">
        <v>30000</v>
      </c>
      <c r="B47" s="504">
        <f>IF(C47="O","",RANK(W47,W$24:W$88,1)+COUNTIF($W$24:W47,W47)-1)</f>
        <v>58</v>
      </c>
      <c r="C47" s="453"/>
      <c r="D47" s="356" t="s">
        <v>47</v>
      </c>
      <c r="E47" s="357">
        <v>125000</v>
      </c>
      <c r="F47" s="358">
        <v>1250</v>
      </c>
      <c r="G47" s="357">
        <v>2500</v>
      </c>
      <c r="H47" s="357">
        <v>25000</v>
      </c>
      <c r="I47" s="359">
        <f t="shared" si="6"/>
        <v>30000</v>
      </c>
      <c r="J47" s="360">
        <f t="shared" si="7"/>
        <v>104500.00000000001</v>
      </c>
      <c r="K47" s="301">
        <f>IF(F$8*(100-F$9)/100&lt;F47,0,((F$8*(100-F$9)/100)-F47)*60*1.8)*IF($N$10="O",0.65,1)</f>
        <v>0</v>
      </c>
      <c r="L47" s="302">
        <f>IF($F$10&lt;$G47,0,($F$10-G47)*20)*IF($N$10="O",0.65,1)</f>
        <v>0</v>
      </c>
      <c r="M47" s="303">
        <f t="shared" si="15"/>
        <v>104500.00000000001</v>
      </c>
      <c r="N47" s="361" t="str">
        <f t="shared" si="8"/>
        <v/>
      </c>
      <c r="O47" s="725"/>
      <c r="P47" s="604">
        <f t="shared" si="21"/>
        <v>-24500</v>
      </c>
      <c r="Q47" s="152">
        <f t="shared" si="10"/>
        <v>58</v>
      </c>
      <c r="R47" s="47">
        <f t="shared" si="11"/>
        <v>58</v>
      </c>
      <c r="S47" s="47">
        <f t="shared" si="12"/>
        <v>58</v>
      </c>
      <c r="T47" s="47">
        <f t="shared" si="16"/>
        <v>58</v>
      </c>
      <c r="U47" s="47">
        <f t="shared" si="17"/>
        <v>58</v>
      </c>
      <c r="V47" s="153">
        <v>10000</v>
      </c>
      <c r="W47" s="464">
        <f t="shared" si="13"/>
        <v>104500.00000000001</v>
      </c>
    </row>
    <row r="48" spans="1:23" ht="17.100000000000001" customHeight="1">
      <c r="A48" s="111">
        <v>14000</v>
      </c>
      <c r="B48" s="504" t="str">
        <f>IF(C48="O","",RANK(W48,W$24:W$88,1)+COUNTIF($W$24:W48,W48)-1)</f>
        <v/>
      </c>
      <c r="C48" s="460" t="s">
        <v>243</v>
      </c>
      <c r="D48" s="275" t="s">
        <v>59</v>
      </c>
      <c r="E48" s="276">
        <v>55000</v>
      </c>
      <c r="F48" s="277">
        <v>250</v>
      </c>
      <c r="G48" s="336">
        <v>250</v>
      </c>
      <c r="H48" s="362" t="s">
        <v>62</v>
      </c>
      <c r="I48" s="363">
        <f t="shared" si="6"/>
        <v>14000</v>
      </c>
      <c r="J48" s="364">
        <f t="shared" si="7"/>
        <v>45100.000000000007</v>
      </c>
      <c r="K48" s="281">
        <f>IF(F$8&lt;F48,0,((F$8-F48)*60*1.8))*IF($N$10="O",0.65,1)</f>
        <v>5508</v>
      </c>
      <c r="L48" s="282">
        <f>IF($F$10&lt;$G48,0,($F$10-G48)*20)*IF($N$10="O",0.65,1)</f>
        <v>0</v>
      </c>
      <c r="M48" s="283">
        <f t="shared" si="15"/>
        <v>51158.80000000001</v>
      </c>
      <c r="N48" s="350" t="str">
        <f t="shared" si="8"/>
        <v/>
      </c>
      <c r="O48" s="723" t="s">
        <v>72</v>
      </c>
      <c r="P48" s="604">
        <v>1</v>
      </c>
      <c r="Q48" s="152" t="str">
        <f t="shared" si="10"/>
        <v/>
      </c>
      <c r="R48" s="47" t="str">
        <f t="shared" si="11"/>
        <v/>
      </c>
      <c r="S48" s="47" t="str">
        <f t="shared" si="12"/>
        <v/>
      </c>
      <c r="T48" s="47" t="str">
        <f t="shared" si="16"/>
        <v/>
      </c>
      <c r="U48" s="47" t="str">
        <f t="shared" si="17"/>
        <v/>
      </c>
      <c r="V48" s="154">
        <v>4000</v>
      </c>
      <c r="W48" s="464" t="str">
        <f t="shared" si="13"/>
        <v/>
      </c>
    </row>
    <row r="49" spans="1:23" ht="17.100000000000001" customHeight="1">
      <c r="A49" s="111">
        <v>16000</v>
      </c>
      <c r="B49" s="504" t="str">
        <f>IF(C49="O","",RANK(W49,W$24:W$88,1)+COUNTIF($W$24:W49,W49)-1)</f>
        <v/>
      </c>
      <c r="C49" s="447" t="s">
        <v>243</v>
      </c>
      <c r="D49" s="285" t="s">
        <v>60</v>
      </c>
      <c r="E49" s="286">
        <v>65000</v>
      </c>
      <c r="F49" s="287">
        <v>350</v>
      </c>
      <c r="G49" s="337">
        <v>350</v>
      </c>
      <c r="H49" s="365" t="s">
        <v>62</v>
      </c>
      <c r="I49" s="338">
        <f t="shared" si="6"/>
        <v>16000</v>
      </c>
      <c r="J49" s="339">
        <f t="shared" si="7"/>
        <v>53900.000000000007</v>
      </c>
      <c r="K49" s="352">
        <f t="shared" ref="K49:K50" si="26">IF(F$8&lt;F49,0,((F$8-F49)*60*1.8))*IF($N$10="O",0.65,1)</f>
        <v>0</v>
      </c>
      <c r="L49" s="292">
        <f t="shared" ref="L49:L53" si="27">IF($F$10&lt;$G49,0,($F$10-G49)*20)*IF($N$10="O",0.65,1)</f>
        <v>0</v>
      </c>
      <c r="M49" s="293">
        <f t="shared" si="15"/>
        <v>53900.000000000007</v>
      </c>
      <c r="N49" s="340" t="str">
        <f t="shared" si="8"/>
        <v/>
      </c>
      <c r="O49" s="724"/>
      <c r="P49" s="604">
        <v>1</v>
      </c>
      <c r="Q49" s="152" t="str">
        <f t="shared" si="10"/>
        <v/>
      </c>
      <c r="R49" s="47" t="str">
        <f t="shared" si="11"/>
        <v/>
      </c>
      <c r="S49" s="47" t="str">
        <f t="shared" si="12"/>
        <v/>
      </c>
      <c r="T49" s="47" t="str">
        <f t="shared" si="16"/>
        <v/>
      </c>
      <c r="U49" s="47" t="str">
        <f t="shared" si="17"/>
        <v/>
      </c>
      <c r="V49" s="154">
        <v>4000</v>
      </c>
      <c r="W49" s="464" t="str">
        <f t="shared" si="13"/>
        <v/>
      </c>
    </row>
    <row r="50" spans="1:23" ht="17.100000000000001" customHeight="1">
      <c r="A50" s="111">
        <v>18000</v>
      </c>
      <c r="B50" s="504" t="str">
        <f>IF(C50="O","",RANK(W50,W$24:W$88,1)+COUNTIF($W$24:W50,W50)-1)</f>
        <v/>
      </c>
      <c r="C50" s="447" t="s">
        <v>243</v>
      </c>
      <c r="D50" s="285" t="s">
        <v>61</v>
      </c>
      <c r="E50" s="286">
        <v>75000</v>
      </c>
      <c r="F50" s="287">
        <v>450</v>
      </c>
      <c r="G50" s="351">
        <v>450</v>
      </c>
      <c r="H50" s="365" t="s">
        <v>62</v>
      </c>
      <c r="I50" s="338">
        <f t="shared" si="6"/>
        <v>18000</v>
      </c>
      <c r="J50" s="339">
        <f t="shared" si="7"/>
        <v>62700.000000000007</v>
      </c>
      <c r="K50" s="352">
        <f t="shared" si="26"/>
        <v>0</v>
      </c>
      <c r="L50" s="292">
        <f t="shared" si="27"/>
        <v>0</v>
      </c>
      <c r="M50" s="293">
        <f t="shared" si="15"/>
        <v>62700.000000000007</v>
      </c>
      <c r="N50" s="340" t="str">
        <f t="shared" si="8"/>
        <v/>
      </c>
      <c r="O50" s="724"/>
      <c r="P50" s="604">
        <v>1</v>
      </c>
      <c r="Q50" s="152" t="str">
        <f t="shared" si="10"/>
        <v/>
      </c>
      <c r="R50" s="47" t="str">
        <f t="shared" si="11"/>
        <v/>
      </c>
      <c r="S50" s="47" t="str">
        <f t="shared" si="12"/>
        <v/>
      </c>
      <c r="T50" s="47" t="str">
        <f t="shared" si="16"/>
        <v/>
      </c>
      <c r="U50" s="47" t="str">
        <f t="shared" si="17"/>
        <v/>
      </c>
      <c r="V50" s="154">
        <v>6000</v>
      </c>
      <c r="W50" s="464" t="str">
        <f t="shared" si="13"/>
        <v/>
      </c>
    </row>
    <row r="51" spans="1:23" ht="17.100000000000001" customHeight="1">
      <c r="A51" s="111">
        <v>20000</v>
      </c>
      <c r="B51" s="504" t="str">
        <f>IF(C51="O","",RANK(W51,W$24:W$88,1)+COUNTIF($W$24:W51,W51)-1)</f>
        <v/>
      </c>
      <c r="C51" s="447" t="s">
        <v>243</v>
      </c>
      <c r="D51" s="353" t="s">
        <v>57</v>
      </c>
      <c r="E51" s="366">
        <v>95000</v>
      </c>
      <c r="F51" s="367">
        <v>650</v>
      </c>
      <c r="G51" s="366">
        <v>650</v>
      </c>
      <c r="H51" s="368" t="s">
        <v>15</v>
      </c>
      <c r="I51" s="338">
        <f t="shared" si="6"/>
        <v>20000</v>
      </c>
      <c r="J51" s="339">
        <f t="shared" si="7"/>
        <v>82500</v>
      </c>
      <c r="K51" s="352">
        <f>IF(IF($I$8-3000&gt;0,$I$8-3000,0)+$I$9-F51&gt;0,IF($I$8-3000&gt;0,$I$8-3000,0)+$I$9-F51,0)*60*1.8*IF($N$10="O",0.65,1)</f>
        <v>0</v>
      </c>
      <c r="L51" s="292">
        <f t="shared" si="27"/>
        <v>0</v>
      </c>
      <c r="M51" s="293">
        <f t="shared" si="15"/>
        <v>82500</v>
      </c>
      <c r="N51" s="340" t="str">
        <f t="shared" si="8"/>
        <v/>
      </c>
      <c r="O51" s="724"/>
      <c r="P51" s="604">
        <v>1</v>
      </c>
      <c r="Q51" s="152" t="str">
        <f t="shared" si="10"/>
        <v/>
      </c>
      <c r="R51" s="47" t="str">
        <f t="shared" si="11"/>
        <v/>
      </c>
      <c r="S51" s="47" t="str">
        <f t="shared" si="12"/>
        <v/>
      </c>
      <c r="T51" s="47" t="str">
        <f t="shared" si="16"/>
        <v/>
      </c>
      <c r="U51" s="47" t="str">
        <f t="shared" si="17"/>
        <v/>
      </c>
      <c r="V51" s="154">
        <v>8000</v>
      </c>
      <c r="W51" s="464" t="str">
        <f t="shared" si="13"/>
        <v/>
      </c>
    </row>
    <row r="52" spans="1:23" ht="17.100000000000001" customHeight="1">
      <c r="A52" s="111">
        <v>24000</v>
      </c>
      <c r="B52" s="504" t="str">
        <f>IF(C52="O","",RANK(W52,W$24:W$88,1)+COUNTIF($W$24:W52,W52)-1)</f>
        <v/>
      </c>
      <c r="C52" s="447" t="s">
        <v>243</v>
      </c>
      <c r="D52" s="353" t="s">
        <v>58</v>
      </c>
      <c r="E52" s="366">
        <v>110000</v>
      </c>
      <c r="F52" s="367">
        <v>1050</v>
      </c>
      <c r="G52" s="366">
        <v>1050</v>
      </c>
      <c r="H52" s="368" t="s">
        <v>15</v>
      </c>
      <c r="I52" s="338">
        <f t="shared" si="6"/>
        <v>24000</v>
      </c>
      <c r="J52" s="339">
        <f t="shared" si="7"/>
        <v>94600.000000000015</v>
      </c>
      <c r="K52" s="352">
        <f>IF(IF($I$8-3000&gt;0,$I$8-3000,0)+$I$9-F52&gt;0,IF($I$8-3000&gt;0,$I$8-3000,0)+$I$9-F52,0)*60*1.8*IF($N$10="O",0.65,1)</f>
        <v>0</v>
      </c>
      <c r="L52" s="292">
        <f t="shared" si="27"/>
        <v>0</v>
      </c>
      <c r="M52" s="293">
        <f t="shared" si="15"/>
        <v>94600.000000000015</v>
      </c>
      <c r="N52" s="340" t="str">
        <f t="shared" si="8"/>
        <v/>
      </c>
      <c r="O52" s="724"/>
      <c r="P52" s="604">
        <v>1</v>
      </c>
      <c r="Q52" s="152" t="str">
        <f t="shared" si="10"/>
        <v/>
      </c>
      <c r="R52" s="47" t="str">
        <f t="shared" si="11"/>
        <v/>
      </c>
      <c r="S52" s="47" t="str">
        <f t="shared" si="12"/>
        <v/>
      </c>
      <c r="T52" s="47" t="str">
        <f t="shared" si="16"/>
        <v/>
      </c>
      <c r="U52" s="47" t="str">
        <f t="shared" si="17"/>
        <v/>
      </c>
      <c r="V52" s="154">
        <v>10000</v>
      </c>
      <c r="W52" s="464" t="str">
        <f t="shared" si="13"/>
        <v/>
      </c>
    </row>
    <row r="53" spans="1:23" ht="17.100000000000001" customHeight="1" thickBot="1">
      <c r="A53" s="112">
        <v>30000</v>
      </c>
      <c r="B53" s="504" t="str">
        <f>IF(C53="O","",RANK(W53,W$24:W$88,1)+COUNTIF($W$24:W53,W53)-1)</f>
        <v/>
      </c>
      <c r="C53" s="462" t="s">
        <v>243</v>
      </c>
      <c r="D53" s="356" t="s">
        <v>46</v>
      </c>
      <c r="E53" s="369">
        <v>130000</v>
      </c>
      <c r="F53" s="370">
        <v>1250</v>
      </c>
      <c r="G53" s="369">
        <v>2500</v>
      </c>
      <c r="H53" s="371" t="s">
        <v>15</v>
      </c>
      <c r="I53" s="359">
        <f t="shared" si="6"/>
        <v>30000</v>
      </c>
      <c r="J53" s="360">
        <f t="shared" si="7"/>
        <v>110000.00000000001</v>
      </c>
      <c r="K53" s="355">
        <f>IF($I$9-F53&lt;0,0,$I$9-F53)*60*1.8*IF($N$10="O",0.65,1)</f>
        <v>0</v>
      </c>
      <c r="L53" s="323">
        <f t="shared" si="27"/>
        <v>0</v>
      </c>
      <c r="M53" s="324">
        <f t="shared" si="15"/>
        <v>110000.00000000001</v>
      </c>
      <c r="N53" s="344" t="str">
        <f t="shared" si="8"/>
        <v/>
      </c>
      <c r="O53" s="725"/>
      <c r="P53" s="604">
        <v>1</v>
      </c>
      <c r="Q53" s="152" t="str">
        <f t="shared" si="10"/>
        <v/>
      </c>
      <c r="R53" s="47" t="str">
        <f t="shared" si="11"/>
        <v/>
      </c>
      <c r="S53" s="47" t="str">
        <f t="shared" si="12"/>
        <v/>
      </c>
      <c r="T53" s="47" t="str">
        <f t="shared" si="16"/>
        <v/>
      </c>
      <c r="U53" s="47" t="str">
        <f t="shared" si="17"/>
        <v/>
      </c>
      <c r="V53" s="154">
        <v>10000</v>
      </c>
      <c r="W53" s="464" t="str">
        <f t="shared" si="13"/>
        <v/>
      </c>
    </row>
    <row r="54" spans="1:23" ht="17.100000000000001" customHeight="1">
      <c r="A54" s="250">
        <v>5000</v>
      </c>
      <c r="B54" s="504">
        <f>IF(C54="O","",RANK(W54,W$24:W$88,1)+COUNTIF($W$24:W54,W54)-1)</f>
        <v>14</v>
      </c>
      <c r="C54" s="457"/>
      <c r="D54" s="372" t="s">
        <v>194</v>
      </c>
      <c r="E54" s="373">
        <v>24000</v>
      </c>
      <c r="F54" s="374">
        <v>100</v>
      </c>
      <c r="G54" s="373">
        <v>100</v>
      </c>
      <c r="H54" s="375">
        <v>250</v>
      </c>
      <c r="I54" s="373">
        <f t="shared" si="6"/>
        <v>5000</v>
      </c>
      <c r="J54" s="364">
        <f t="shared" ref="J54:J88" si="28">IF($N$10="X",(E54-I54)*1.1,(E54-I54)*1.1*0.65)</f>
        <v>20900</v>
      </c>
      <c r="K54" s="281">
        <f>IF(F$8&lt;F54,0,((F$8-F54)*60*1.8))*IF($N$10="O",0.65,1)</f>
        <v>21708</v>
      </c>
      <c r="L54" s="282">
        <f>IF($F$10&lt;$G54,0,($F$10-G54)*20)*IF($N$10="O",0.65,1)</f>
        <v>2020</v>
      </c>
      <c r="M54" s="283">
        <f t="shared" si="15"/>
        <v>47000.800000000003</v>
      </c>
      <c r="N54" s="350" t="str">
        <f t="shared" si="8"/>
        <v>데이터(0.25GB) 부족</v>
      </c>
      <c r="O54" s="742" t="s">
        <v>202</v>
      </c>
      <c r="P54" s="604">
        <f t="shared" ref="P54:P83" si="29">$F$11-H54</f>
        <v>250</v>
      </c>
      <c r="Q54" s="152">
        <f t="shared" si="10"/>
        <v>14</v>
      </c>
      <c r="R54" s="47">
        <f t="shared" ref="R54:R59" si="30">IF(B54=SMALL($B$54:$B$59,1),B54,"")</f>
        <v>14</v>
      </c>
      <c r="S54" s="47" t="str">
        <f t="shared" si="12"/>
        <v/>
      </c>
      <c r="T54" s="47" t="str">
        <f>IF(S54="","",IF(S54=SMALL($S$54:$S$59,1),S54,""))</f>
        <v/>
      </c>
      <c r="U54" s="47">
        <f t="shared" si="17"/>
        <v>14</v>
      </c>
      <c r="V54" s="154">
        <v>3000</v>
      </c>
      <c r="W54" s="464">
        <f t="shared" si="13"/>
        <v>47000.800000000003</v>
      </c>
    </row>
    <row r="55" spans="1:23" ht="17.100000000000001" customHeight="1">
      <c r="A55" s="250">
        <v>5000</v>
      </c>
      <c r="B55" s="504">
        <f>IF(C55="O","",RANK(W55,W$24:W$88,1)+COUNTIF($W$24:W55,W55)-1)</f>
        <v>23</v>
      </c>
      <c r="C55" s="448"/>
      <c r="D55" s="376" t="s">
        <v>194</v>
      </c>
      <c r="E55" s="366">
        <v>30000</v>
      </c>
      <c r="F55" s="367">
        <v>100</v>
      </c>
      <c r="G55" s="366">
        <v>100</v>
      </c>
      <c r="H55" s="377">
        <v>1000</v>
      </c>
      <c r="I55" s="366">
        <f t="shared" si="6"/>
        <v>5000</v>
      </c>
      <c r="J55" s="339">
        <f t="shared" si="28"/>
        <v>27500.000000000004</v>
      </c>
      <c r="K55" s="291">
        <f t="shared" ref="K55:K77" si="31">IF(F$8&lt;F55,0,((F$8-F55)*60*1.8))*IF($N$10="O",0.65,1)</f>
        <v>21708</v>
      </c>
      <c r="L55" s="292">
        <f t="shared" ref="L55:L77" si="32">IF($F$10&lt;$G55,0,($F$10-G55)*20)*IF($N$10="O",0.65,1)</f>
        <v>2020</v>
      </c>
      <c r="M55" s="293">
        <f t="shared" si="15"/>
        <v>53600.800000000003</v>
      </c>
      <c r="N55" s="340" t="str">
        <f t="shared" si="8"/>
        <v/>
      </c>
      <c r="O55" s="743"/>
      <c r="P55" s="604">
        <f t="shared" si="29"/>
        <v>-500</v>
      </c>
      <c r="Q55" s="152">
        <f t="shared" si="10"/>
        <v>23</v>
      </c>
      <c r="R55" s="47" t="str">
        <f t="shared" si="30"/>
        <v/>
      </c>
      <c r="S55" s="47">
        <f t="shared" si="12"/>
        <v>23</v>
      </c>
      <c r="T55" s="47">
        <f t="shared" ref="T55:T59" si="33">IF(S55="","",IF(S55=SMALL($S$54:$S$59,1),S55,""))</f>
        <v>23</v>
      </c>
      <c r="U55" s="47">
        <f t="shared" si="17"/>
        <v>23</v>
      </c>
      <c r="V55" s="154">
        <v>3000</v>
      </c>
      <c r="W55" s="464">
        <f t="shared" si="13"/>
        <v>53600.800000000003</v>
      </c>
    </row>
    <row r="56" spans="1:23" ht="17.100000000000001" customHeight="1">
      <c r="A56" s="147">
        <v>7000</v>
      </c>
      <c r="B56" s="504">
        <f>IF(C56="O","",RANK(W56,W$24:W$88,1)+COUNTIF($W$24:W56,W56)-1)</f>
        <v>33</v>
      </c>
      <c r="C56" s="449"/>
      <c r="D56" s="376" t="s">
        <v>193</v>
      </c>
      <c r="E56" s="366">
        <v>35000</v>
      </c>
      <c r="F56" s="367">
        <v>100</v>
      </c>
      <c r="G56" s="366">
        <v>100</v>
      </c>
      <c r="H56" s="378">
        <v>2000</v>
      </c>
      <c r="I56" s="366">
        <f t="shared" ref="I56:I88" si="34">IF($N$8="X",A56,A56+V56)</f>
        <v>7000</v>
      </c>
      <c r="J56" s="339">
        <f t="shared" si="28"/>
        <v>30800.000000000004</v>
      </c>
      <c r="K56" s="291">
        <f t="shared" si="31"/>
        <v>21708</v>
      </c>
      <c r="L56" s="292">
        <f t="shared" si="32"/>
        <v>2020</v>
      </c>
      <c r="M56" s="293">
        <f t="shared" si="15"/>
        <v>56900.800000000003</v>
      </c>
      <c r="N56" s="340" t="str">
        <f t="shared" ref="N56:N88" si="35">IF(H56="무제한","",IF(($F$11-H56)&gt;0,"데이터("&amp;P56/1000&amp;"GB) 부족",""))</f>
        <v/>
      </c>
      <c r="O56" s="743"/>
      <c r="P56" s="604">
        <f t="shared" si="29"/>
        <v>-1500</v>
      </c>
      <c r="Q56" s="152">
        <f t="shared" ref="Q56:Q88" si="36">B56</f>
        <v>33</v>
      </c>
      <c r="R56" s="47" t="str">
        <f t="shared" si="30"/>
        <v/>
      </c>
      <c r="S56" s="47">
        <f t="shared" ref="S56:S88" si="37">IF($F$11&lt;=H56,B56,"")</f>
        <v>33</v>
      </c>
      <c r="T56" s="47" t="str">
        <f t="shared" si="33"/>
        <v/>
      </c>
      <c r="U56" s="47">
        <f t="shared" si="17"/>
        <v>33</v>
      </c>
      <c r="V56" s="600">
        <v>3000</v>
      </c>
      <c r="W56" s="464">
        <f t="shared" ref="W56:W88" si="38">IF(C56="O","",M56)</f>
        <v>56900.800000000003</v>
      </c>
    </row>
    <row r="57" spans="1:23" ht="16.5" customHeight="1">
      <c r="A57" s="147">
        <v>7000</v>
      </c>
      <c r="B57" s="504">
        <f>IF(C57="O","",RANK(W57,W$24:W$88,1)+COUNTIF($W$24:W57,W57)-1)</f>
        <v>39</v>
      </c>
      <c r="C57" s="449"/>
      <c r="D57" s="379" t="s">
        <v>193</v>
      </c>
      <c r="E57" s="380">
        <v>41000</v>
      </c>
      <c r="F57" s="381">
        <v>100</v>
      </c>
      <c r="G57" s="380">
        <v>100</v>
      </c>
      <c r="H57" s="382">
        <v>3000</v>
      </c>
      <c r="I57" s="380">
        <f t="shared" si="34"/>
        <v>7000</v>
      </c>
      <c r="J57" s="383">
        <f t="shared" si="28"/>
        <v>37400</v>
      </c>
      <c r="K57" s="384">
        <f t="shared" si="31"/>
        <v>21708</v>
      </c>
      <c r="L57" s="385">
        <f t="shared" si="32"/>
        <v>2020</v>
      </c>
      <c r="M57" s="386">
        <f t="shared" si="15"/>
        <v>63500.800000000003</v>
      </c>
      <c r="N57" s="387" t="str">
        <f t="shared" si="35"/>
        <v/>
      </c>
      <c r="O57" s="743"/>
      <c r="P57" s="604">
        <f t="shared" si="29"/>
        <v>-2500</v>
      </c>
      <c r="Q57" s="152">
        <f t="shared" si="36"/>
        <v>39</v>
      </c>
      <c r="R57" s="47" t="str">
        <f t="shared" si="30"/>
        <v/>
      </c>
      <c r="S57" s="47">
        <f t="shared" si="37"/>
        <v>39</v>
      </c>
      <c r="T57" s="47" t="str">
        <f t="shared" si="33"/>
        <v/>
      </c>
      <c r="U57" s="47">
        <f t="shared" si="17"/>
        <v>39</v>
      </c>
      <c r="V57" s="600">
        <v>3000</v>
      </c>
      <c r="W57" s="464">
        <f t="shared" si="38"/>
        <v>63500.800000000003</v>
      </c>
    </row>
    <row r="58" spans="1:23" ht="17.100000000000001" customHeight="1">
      <c r="A58" s="147">
        <v>11000</v>
      </c>
      <c r="B58" s="504">
        <f>IF(C58="O","",RANK(W58,W$24:W$88,1)+COUNTIF($W$24:W58,W58)-1)</f>
        <v>45</v>
      </c>
      <c r="C58" s="449"/>
      <c r="D58" s="376" t="s">
        <v>193</v>
      </c>
      <c r="E58" s="366">
        <v>48500</v>
      </c>
      <c r="F58" s="367">
        <v>100</v>
      </c>
      <c r="G58" s="366">
        <v>100</v>
      </c>
      <c r="H58" s="378">
        <v>6000</v>
      </c>
      <c r="I58" s="366">
        <f t="shared" si="34"/>
        <v>11000</v>
      </c>
      <c r="J58" s="339">
        <f t="shared" si="28"/>
        <v>41250</v>
      </c>
      <c r="K58" s="291">
        <f t="shared" si="31"/>
        <v>21708</v>
      </c>
      <c r="L58" s="292">
        <f t="shared" si="32"/>
        <v>2020</v>
      </c>
      <c r="M58" s="293">
        <f t="shared" si="15"/>
        <v>67350.8</v>
      </c>
      <c r="N58" s="340" t="str">
        <f t="shared" si="35"/>
        <v/>
      </c>
      <c r="O58" s="743"/>
      <c r="P58" s="604">
        <f t="shared" si="29"/>
        <v>-5500</v>
      </c>
      <c r="Q58" s="152">
        <f t="shared" si="36"/>
        <v>45</v>
      </c>
      <c r="R58" s="47" t="str">
        <f t="shared" si="30"/>
        <v/>
      </c>
      <c r="S58" s="47">
        <f t="shared" si="37"/>
        <v>45</v>
      </c>
      <c r="T58" s="47" t="str">
        <f t="shared" si="33"/>
        <v/>
      </c>
      <c r="U58" s="47">
        <f t="shared" si="17"/>
        <v>45</v>
      </c>
      <c r="V58" s="600">
        <v>3000</v>
      </c>
      <c r="W58" s="464">
        <f t="shared" si="38"/>
        <v>67350.8</v>
      </c>
    </row>
    <row r="59" spans="1:23" ht="17.100000000000001" customHeight="1" thickBot="1">
      <c r="A59" s="147">
        <v>14000</v>
      </c>
      <c r="B59" s="504">
        <f>IF(C59="O","",RANK(W59,W$24:W$88,1)+COUNTIF($W$24:W59,W59)-1)</f>
        <v>48</v>
      </c>
      <c r="C59" s="454"/>
      <c r="D59" s="388" t="s">
        <v>193</v>
      </c>
      <c r="E59" s="389">
        <v>55500</v>
      </c>
      <c r="F59" s="390">
        <v>100</v>
      </c>
      <c r="G59" s="389">
        <v>100</v>
      </c>
      <c r="H59" s="391">
        <v>10000</v>
      </c>
      <c r="I59" s="389">
        <f t="shared" si="34"/>
        <v>14000</v>
      </c>
      <c r="J59" s="392">
        <f t="shared" si="28"/>
        <v>45650.000000000007</v>
      </c>
      <c r="K59" s="393">
        <f t="shared" si="31"/>
        <v>21708</v>
      </c>
      <c r="L59" s="394">
        <f t="shared" si="32"/>
        <v>2020</v>
      </c>
      <c r="M59" s="395">
        <f t="shared" si="15"/>
        <v>71750.800000000017</v>
      </c>
      <c r="N59" s="396" t="str">
        <f t="shared" si="35"/>
        <v/>
      </c>
      <c r="O59" s="744"/>
      <c r="P59" s="604">
        <f t="shared" si="29"/>
        <v>-9500</v>
      </c>
      <c r="Q59" s="152">
        <f t="shared" si="36"/>
        <v>48</v>
      </c>
      <c r="R59" s="47" t="str">
        <f t="shared" si="30"/>
        <v/>
      </c>
      <c r="S59" s="47">
        <f t="shared" si="37"/>
        <v>48</v>
      </c>
      <c r="T59" s="47" t="str">
        <f t="shared" si="33"/>
        <v/>
      </c>
      <c r="U59" s="47">
        <f t="shared" si="17"/>
        <v>48</v>
      </c>
      <c r="V59" s="600">
        <v>5000</v>
      </c>
      <c r="W59" s="464">
        <f t="shared" si="38"/>
        <v>71750.800000000017</v>
      </c>
    </row>
    <row r="60" spans="1:23" ht="17.100000000000001" customHeight="1">
      <c r="A60" s="147">
        <v>5000</v>
      </c>
      <c r="B60" s="504">
        <f>IF(C60="O","",RANK(W60,W$24:W$88,1)+COUNTIF($W$24:W60,W60)-1)</f>
        <v>5</v>
      </c>
      <c r="C60" s="463"/>
      <c r="D60" s="372" t="s">
        <v>195</v>
      </c>
      <c r="E60" s="373">
        <v>32000</v>
      </c>
      <c r="F60" s="374">
        <v>180</v>
      </c>
      <c r="G60" s="373">
        <v>180</v>
      </c>
      <c r="H60" s="375">
        <v>250</v>
      </c>
      <c r="I60" s="373">
        <f t="shared" si="34"/>
        <v>5000</v>
      </c>
      <c r="J60" s="364">
        <f t="shared" si="28"/>
        <v>29700.000000000004</v>
      </c>
      <c r="K60" s="281">
        <f t="shared" si="31"/>
        <v>13068</v>
      </c>
      <c r="L60" s="282">
        <f t="shared" si="32"/>
        <v>420</v>
      </c>
      <c r="M60" s="283">
        <f t="shared" si="15"/>
        <v>44536.800000000003</v>
      </c>
      <c r="N60" s="350" t="str">
        <f t="shared" si="35"/>
        <v>데이터(0.25GB) 부족</v>
      </c>
      <c r="O60" s="742" t="s">
        <v>203</v>
      </c>
      <c r="P60" s="604">
        <f t="shared" si="29"/>
        <v>250</v>
      </c>
      <c r="Q60" s="152">
        <f t="shared" si="36"/>
        <v>5</v>
      </c>
      <c r="R60" s="47">
        <f t="shared" ref="R60:R65" si="39">IF(B60=SMALL($B$60:$B$65,1),B60,"")</f>
        <v>5</v>
      </c>
      <c r="S60" s="47" t="str">
        <f t="shared" si="37"/>
        <v/>
      </c>
      <c r="T60" s="47" t="str">
        <f>IF(S60="","",IF(S60=SMALL($S$60:$S$65,1),S60,""))</f>
        <v/>
      </c>
      <c r="U60" s="47">
        <f t="shared" si="17"/>
        <v>5</v>
      </c>
      <c r="V60" s="600">
        <v>3000</v>
      </c>
      <c r="W60" s="464">
        <f t="shared" si="38"/>
        <v>44536.800000000003</v>
      </c>
    </row>
    <row r="61" spans="1:23" ht="17.100000000000001" customHeight="1">
      <c r="A61" s="147">
        <v>7000</v>
      </c>
      <c r="B61" s="504">
        <f>IF(C61="O","",RANK(W61,W$24:W$88,1)+COUNTIF($W$24:W61,W61)-1)</f>
        <v>13</v>
      </c>
      <c r="C61" s="449"/>
      <c r="D61" s="379" t="s">
        <v>196</v>
      </c>
      <c r="E61" s="380">
        <v>36000</v>
      </c>
      <c r="F61" s="381">
        <v>180</v>
      </c>
      <c r="G61" s="380">
        <v>180</v>
      </c>
      <c r="H61" s="397">
        <v>1000</v>
      </c>
      <c r="I61" s="380">
        <f t="shared" si="34"/>
        <v>7000</v>
      </c>
      <c r="J61" s="383">
        <f t="shared" si="28"/>
        <v>31900.000000000004</v>
      </c>
      <c r="K61" s="384">
        <f t="shared" si="31"/>
        <v>13068</v>
      </c>
      <c r="L61" s="385">
        <f t="shared" si="32"/>
        <v>420</v>
      </c>
      <c r="M61" s="386">
        <f t="shared" si="15"/>
        <v>46736.800000000003</v>
      </c>
      <c r="N61" s="387" t="str">
        <f t="shared" si="35"/>
        <v/>
      </c>
      <c r="O61" s="743"/>
      <c r="P61" s="604">
        <f t="shared" si="29"/>
        <v>-500</v>
      </c>
      <c r="Q61" s="152">
        <f t="shared" si="36"/>
        <v>13</v>
      </c>
      <c r="R61" s="47" t="str">
        <f t="shared" si="39"/>
        <v/>
      </c>
      <c r="S61" s="47">
        <f t="shared" si="37"/>
        <v>13</v>
      </c>
      <c r="T61" s="47">
        <f t="shared" ref="T61:T65" si="40">IF(S61="","",IF(S61=SMALL($S$60:$S$65,1),S61,""))</f>
        <v>13</v>
      </c>
      <c r="U61" s="47">
        <f t="shared" si="17"/>
        <v>13</v>
      </c>
      <c r="V61" s="600">
        <v>3000</v>
      </c>
      <c r="W61" s="464">
        <f t="shared" si="38"/>
        <v>46736.800000000003</v>
      </c>
    </row>
    <row r="62" spans="1:23" ht="17.100000000000001" customHeight="1">
      <c r="A62" s="147">
        <v>11000</v>
      </c>
      <c r="B62" s="504">
        <f>IF(C62="O","",RANK(W62,W$24:W$88,1)+COUNTIF($W$24:W62,W62)-1)</f>
        <v>20</v>
      </c>
      <c r="C62" s="449"/>
      <c r="D62" s="376" t="s">
        <v>196</v>
      </c>
      <c r="E62" s="366">
        <v>45000</v>
      </c>
      <c r="F62" s="367">
        <v>180</v>
      </c>
      <c r="G62" s="366">
        <v>180</v>
      </c>
      <c r="H62" s="378">
        <v>2000</v>
      </c>
      <c r="I62" s="366">
        <f t="shared" si="34"/>
        <v>11000</v>
      </c>
      <c r="J62" s="339">
        <f t="shared" si="28"/>
        <v>37400</v>
      </c>
      <c r="K62" s="291">
        <f t="shared" si="31"/>
        <v>13068</v>
      </c>
      <c r="L62" s="292">
        <f t="shared" si="32"/>
        <v>420</v>
      </c>
      <c r="M62" s="293">
        <f t="shared" si="15"/>
        <v>52236.800000000003</v>
      </c>
      <c r="N62" s="340" t="str">
        <f t="shared" si="35"/>
        <v/>
      </c>
      <c r="O62" s="743"/>
      <c r="P62" s="604">
        <f t="shared" si="29"/>
        <v>-1500</v>
      </c>
      <c r="Q62" s="152">
        <f t="shared" si="36"/>
        <v>20</v>
      </c>
      <c r="R62" s="47" t="str">
        <f t="shared" si="39"/>
        <v/>
      </c>
      <c r="S62" s="47">
        <f t="shared" si="37"/>
        <v>20</v>
      </c>
      <c r="T62" s="47" t="str">
        <f t="shared" si="40"/>
        <v/>
      </c>
      <c r="U62" s="47">
        <f t="shared" si="17"/>
        <v>20</v>
      </c>
      <c r="V62" s="600">
        <v>3000</v>
      </c>
      <c r="W62" s="464">
        <f t="shared" si="38"/>
        <v>52236.800000000003</v>
      </c>
    </row>
    <row r="63" spans="1:23" ht="17.100000000000001" customHeight="1">
      <c r="A63" s="147">
        <v>14000</v>
      </c>
      <c r="B63" s="504">
        <f>IF(C63="O","",RANK(W63,W$24:W$88,1)+COUNTIF($W$24:W63,W63)-1)</f>
        <v>32</v>
      </c>
      <c r="C63" s="449"/>
      <c r="D63" s="379" t="s">
        <v>195</v>
      </c>
      <c r="E63" s="380">
        <v>52000</v>
      </c>
      <c r="F63" s="381">
        <v>180</v>
      </c>
      <c r="G63" s="380">
        <v>180</v>
      </c>
      <c r="H63" s="382">
        <v>3000</v>
      </c>
      <c r="I63" s="380">
        <f t="shared" si="34"/>
        <v>14000</v>
      </c>
      <c r="J63" s="383">
        <f t="shared" si="28"/>
        <v>41800</v>
      </c>
      <c r="K63" s="384">
        <f t="shared" si="31"/>
        <v>13068</v>
      </c>
      <c r="L63" s="385">
        <f t="shared" si="32"/>
        <v>420</v>
      </c>
      <c r="M63" s="386">
        <f t="shared" si="15"/>
        <v>56636.800000000003</v>
      </c>
      <c r="N63" s="387" t="str">
        <f t="shared" si="35"/>
        <v/>
      </c>
      <c r="O63" s="743"/>
      <c r="P63" s="604">
        <f t="shared" si="29"/>
        <v>-2500</v>
      </c>
      <c r="Q63" s="152">
        <f t="shared" si="36"/>
        <v>32</v>
      </c>
      <c r="R63" s="47" t="str">
        <f t="shared" si="39"/>
        <v/>
      </c>
      <c r="S63" s="47">
        <f t="shared" si="37"/>
        <v>32</v>
      </c>
      <c r="T63" s="47" t="str">
        <f t="shared" si="40"/>
        <v/>
      </c>
      <c r="U63" s="47">
        <f t="shared" si="17"/>
        <v>32</v>
      </c>
      <c r="V63" s="600">
        <v>5000</v>
      </c>
      <c r="W63" s="464">
        <f t="shared" si="38"/>
        <v>56636.800000000003</v>
      </c>
    </row>
    <row r="64" spans="1:23" ht="17.100000000000001" customHeight="1">
      <c r="A64" s="147">
        <v>14000</v>
      </c>
      <c r="B64" s="504">
        <f>IF(C64="O","",RANK(W64,W$24:W$88,1)+COUNTIF($W$24:W64,W64)-1)</f>
        <v>36</v>
      </c>
      <c r="C64" s="449"/>
      <c r="D64" s="376" t="s">
        <v>195</v>
      </c>
      <c r="E64" s="366">
        <v>56000</v>
      </c>
      <c r="F64" s="367">
        <v>180</v>
      </c>
      <c r="G64" s="366">
        <v>180</v>
      </c>
      <c r="H64" s="378">
        <v>6000</v>
      </c>
      <c r="I64" s="366">
        <f t="shared" si="34"/>
        <v>14000</v>
      </c>
      <c r="J64" s="339">
        <f t="shared" si="28"/>
        <v>46200.000000000007</v>
      </c>
      <c r="K64" s="291">
        <f t="shared" si="31"/>
        <v>13068</v>
      </c>
      <c r="L64" s="292">
        <f t="shared" si="32"/>
        <v>420</v>
      </c>
      <c r="M64" s="293">
        <f t="shared" si="15"/>
        <v>61036.80000000001</v>
      </c>
      <c r="N64" s="340" t="str">
        <f t="shared" si="35"/>
        <v/>
      </c>
      <c r="O64" s="743"/>
      <c r="P64" s="604">
        <f t="shared" si="29"/>
        <v>-5500</v>
      </c>
      <c r="Q64" s="152">
        <f t="shared" si="36"/>
        <v>36</v>
      </c>
      <c r="R64" s="47" t="str">
        <f t="shared" si="39"/>
        <v/>
      </c>
      <c r="S64" s="47">
        <f t="shared" si="37"/>
        <v>36</v>
      </c>
      <c r="T64" s="47" t="str">
        <f t="shared" si="40"/>
        <v/>
      </c>
      <c r="U64" s="47">
        <f t="shared" si="17"/>
        <v>36</v>
      </c>
      <c r="V64" s="600">
        <v>5000</v>
      </c>
      <c r="W64" s="464">
        <f t="shared" si="38"/>
        <v>61036.80000000001</v>
      </c>
    </row>
    <row r="65" spans="1:23" ht="17.100000000000001" customHeight="1" thickBot="1">
      <c r="A65" s="147">
        <v>16000</v>
      </c>
      <c r="B65" s="504">
        <f>IF(C65="O","",RANK(W65,W$24:W$88,1)+COUNTIF($W$24:W65,W65)-1)</f>
        <v>43</v>
      </c>
      <c r="C65" s="450"/>
      <c r="D65" s="388" t="s">
        <v>195</v>
      </c>
      <c r="E65" s="389">
        <v>62000</v>
      </c>
      <c r="F65" s="390">
        <v>180</v>
      </c>
      <c r="G65" s="389">
        <v>180</v>
      </c>
      <c r="H65" s="391">
        <v>10000</v>
      </c>
      <c r="I65" s="389">
        <f t="shared" si="34"/>
        <v>16000</v>
      </c>
      <c r="J65" s="392">
        <f t="shared" si="28"/>
        <v>50600.000000000007</v>
      </c>
      <c r="K65" s="393">
        <f t="shared" si="31"/>
        <v>13068</v>
      </c>
      <c r="L65" s="394">
        <f t="shared" si="32"/>
        <v>420</v>
      </c>
      <c r="M65" s="395">
        <f t="shared" si="15"/>
        <v>65436.80000000001</v>
      </c>
      <c r="N65" s="396" t="str">
        <f t="shared" si="35"/>
        <v/>
      </c>
      <c r="O65" s="744"/>
      <c r="P65" s="604">
        <f t="shared" si="29"/>
        <v>-9500</v>
      </c>
      <c r="Q65" s="152">
        <f t="shared" si="36"/>
        <v>43</v>
      </c>
      <c r="R65" s="47" t="str">
        <f t="shared" si="39"/>
        <v/>
      </c>
      <c r="S65" s="47">
        <f t="shared" si="37"/>
        <v>43</v>
      </c>
      <c r="T65" s="47" t="str">
        <f t="shared" si="40"/>
        <v/>
      </c>
      <c r="U65" s="47">
        <f t="shared" si="17"/>
        <v>43</v>
      </c>
      <c r="V65" s="600">
        <v>5000</v>
      </c>
      <c r="W65" s="464">
        <f t="shared" si="38"/>
        <v>65436.80000000001</v>
      </c>
    </row>
    <row r="66" spans="1:23" ht="17.100000000000001" customHeight="1">
      <c r="A66" s="147">
        <v>11000</v>
      </c>
      <c r="B66" s="504">
        <f>IF(C66="O","",RANK(W66,W$24:W$88,1)+COUNTIF($W$24:W66,W66)-1)</f>
        <v>1</v>
      </c>
      <c r="C66" s="458"/>
      <c r="D66" s="372" t="s">
        <v>197</v>
      </c>
      <c r="E66" s="373">
        <v>45000</v>
      </c>
      <c r="F66" s="374">
        <v>300</v>
      </c>
      <c r="G66" s="373">
        <v>300</v>
      </c>
      <c r="H66" s="375">
        <v>250</v>
      </c>
      <c r="I66" s="373">
        <f t="shared" si="34"/>
        <v>11000</v>
      </c>
      <c r="J66" s="364">
        <f t="shared" si="28"/>
        <v>37400</v>
      </c>
      <c r="K66" s="281">
        <f t="shared" si="31"/>
        <v>108</v>
      </c>
      <c r="L66" s="282">
        <f t="shared" si="32"/>
        <v>0</v>
      </c>
      <c r="M66" s="283">
        <f t="shared" si="15"/>
        <v>37518.800000000003</v>
      </c>
      <c r="N66" s="350" t="str">
        <f t="shared" si="35"/>
        <v>데이터(0.25GB) 부족</v>
      </c>
      <c r="O66" s="742" t="s">
        <v>204</v>
      </c>
      <c r="P66" s="604">
        <f t="shared" si="29"/>
        <v>250</v>
      </c>
      <c r="Q66" s="152">
        <f t="shared" si="36"/>
        <v>1</v>
      </c>
      <c r="R66" s="47">
        <f t="shared" ref="R66:R71" si="41">IF(B66=SMALL($B$66:$B$71,1),B66,"")</f>
        <v>1</v>
      </c>
      <c r="S66" s="47" t="str">
        <f t="shared" si="37"/>
        <v/>
      </c>
      <c r="T66" s="47" t="str">
        <f>IF(S66="","",IF(S66=SMALL($S$66:$S$71,1),S66,""))</f>
        <v/>
      </c>
      <c r="U66" s="47">
        <f t="shared" si="17"/>
        <v>1</v>
      </c>
      <c r="V66" s="600">
        <v>3000</v>
      </c>
      <c r="W66" s="464">
        <f t="shared" si="38"/>
        <v>37518.800000000003</v>
      </c>
    </row>
    <row r="67" spans="1:23" ht="17.100000000000001" customHeight="1">
      <c r="A67" s="147">
        <v>11000</v>
      </c>
      <c r="B67" s="504">
        <f>IF(C67="O","",RANK(W67,W$24:W$88,1)+COUNTIF($W$24:W67,W67)-1)</f>
        <v>4</v>
      </c>
      <c r="C67" s="449"/>
      <c r="D67" s="379" t="s">
        <v>197</v>
      </c>
      <c r="E67" s="380">
        <v>49000</v>
      </c>
      <c r="F67" s="381">
        <v>300</v>
      </c>
      <c r="G67" s="380">
        <v>300</v>
      </c>
      <c r="H67" s="397">
        <v>1000</v>
      </c>
      <c r="I67" s="380">
        <f t="shared" si="34"/>
        <v>11000</v>
      </c>
      <c r="J67" s="383">
        <f t="shared" si="28"/>
        <v>41800</v>
      </c>
      <c r="K67" s="384">
        <f t="shared" si="31"/>
        <v>108</v>
      </c>
      <c r="L67" s="385">
        <f t="shared" si="32"/>
        <v>0</v>
      </c>
      <c r="M67" s="386">
        <f t="shared" si="15"/>
        <v>41918.800000000003</v>
      </c>
      <c r="N67" s="387" t="str">
        <f t="shared" si="35"/>
        <v/>
      </c>
      <c r="O67" s="743"/>
      <c r="P67" s="604">
        <f t="shared" si="29"/>
        <v>-500</v>
      </c>
      <c r="Q67" s="152">
        <f t="shared" si="36"/>
        <v>4</v>
      </c>
      <c r="R67" s="47" t="str">
        <f t="shared" si="41"/>
        <v/>
      </c>
      <c r="S67" s="47">
        <f t="shared" si="37"/>
        <v>4</v>
      </c>
      <c r="T67" s="47">
        <f t="shared" ref="T67:T71" si="42">IF(S67="","",IF(S67=SMALL($S$66:$S$71,1),S67,""))</f>
        <v>4</v>
      </c>
      <c r="U67" s="47">
        <f t="shared" si="17"/>
        <v>4</v>
      </c>
      <c r="V67" s="600">
        <v>3000</v>
      </c>
      <c r="W67" s="464">
        <f t="shared" si="38"/>
        <v>41918.800000000003</v>
      </c>
    </row>
    <row r="68" spans="1:23" ht="17.100000000000001" customHeight="1">
      <c r="A68" s="147">
        <v>14000</v>
      </c>
      <c r="B68" s="504">
        <f>IF(C68="O","",RANK(W68,W$24:W$88,1)+COUNTIF($W$24:W68,W68)-1)</f>
        <v>9</v>
      </c>
      <c r="C68" s="449"/>
      <c r="D68" s="376" t="s">
        <v>198</v>
      </c>
      <c r="E68" s="366">
        <v>55000</v>
      </c>
      <c r="F68" s="367">
        <v>300</v>
      </c>
      <c r="G68" s="366">
        <v>300</v>
      </c>
      <c r="H68" s="378">
        <v>2000</v>
      </c>
      <c r="I68" s="366">
        <f t="shared" si="34"/>
        <v>14000</v>
      </c>
      <c r="J68" s="339">
        <f t="shared" si="28"/>
        <v>45100.000000000007</v>
      </c>
      <c r="K68" s="291">
        <f t="shared" si="31"/>
        <v>108</v>
      </c>
      <c r="L68" s="292">
        <f t="shared" si="32"/>
        <v>0</v>
      </c>
      <c r="M68" s="293">
        <f t="shared" si="15"/>
        <v>45218.80000000001</v>
      </c>
      <c r="N68" s="340" t="str">
        <f t="shared" si="35"/>
        <v/>
      </c>
      <c r="O68" s="743"/>
      <c r="P68" s="604">
        <f t="shared" si="29"/>
        <v>-1500</v>
      </c>
      <c r="Q68" s="152">
        <f t="shared" si="36"/>
        <v>9</v>
      </c>
      <c r="R68" s="47" t="str">
        <f t="shared" si="41"/>
        <v/>
      </c>
      <c r="S68" s="47">
        <f t="shared" si="37"/>
        <v>9</v>
      </c>
      <c r="T68" s="47" t="str">
        <f t="shared" si="42"/>
        <v/>
      </c>
      <c r="U68" s="47">
        <f t="shared" si="17"/>
        <v>9</v>
      </c>
      <c r="V68" s="600">
        <v>5000</v>
      </c>
      <c r="W68" s="464">
        <f t="shared" si="38"/>
        <v>45218.80000000001</v>
      </c>
    </row>
    <row r="69" spans="1:23" ht="17.100000000000001" customHeight="1">
      <c r="A69" s="147">
        <v>14000</v>
      </c>
      <c r="B69" s="504">
        <f>IF(C69="O","",RANK(W69,W$24:W$88,1)+COUNTIF($W$24:W69,W69)-1)</f>
        <v>11</v>
      </c>
      <c r="C69" s="449"/>
      <c r="D69" s="379" t="s">
        <v>198</v>
      </c>
      <c r="E69" s="380">
        <v>56000</v>
      </c>
      <c r="F69" s="381">
        <v>300</v>
      </c>
      <c r="G69" s="380">
        <v>300</v>
      </c>
      <c r="H69" s="382">
        <v>3000</v>
      </c>
      <c r="I69" s="380">
        <f t="shared" si="34"/>
        <v>14000</v>
      </c>
      <c r="J69" s="383">
        <f t="shared" si="28"/>
        <v>46200.000000000007</v>
      </c>
      <c r="K69" s="384">
        <f t="shared" si="31"/>
        <v>108</v>
      </c>
      <c r="L69" s="385">
        <f t="shared" si="32"/>
        <v>0</v>
      </c>
      <c r="M69" s="386">
        <f t="shared" si="15"/>
        <v>46318.80000000001</v>
      </c>
      <c r="N69" s="387" t="str">
        <f t="shared" si="35"/>
        <v/>
      </c>
      <c r="O69" s="743"/>
      <c r="P69" s="604">
        <f t="shared" si="29"/>
        <v>-2500</v>
      </c>
      <c r="Q69" s="152">
        <f t="shared" si="36"/>
        <v>11</v>
      </c>
      <c r="R69" s="47" t="str">
        <f t="shared" si="41"/>
        <v/>
      </c>
      <c r="S69" s="47">
        <f t="shared" si="37"/>
        <v>11</v>
      </c>
      <c r="T69" s="47" t="str">
        <f t="shared" si="42"/>
        <v/>
      </c>
      <c r="U69" s="47">
        <f t="shared" si="17"/>
        <v>11</v>
      </c>
      <c r="V69" s="600">
        <v>5000</v>
      </c>
      <c r="W69" s="464">
        <f t="shared" si="38"/>
        <v>46318.80000000001</v>
      </c>
    </row>
    <row r="70" spans="1:23" ht="17.100000000000001" customHeight="1">
      <c r="A70" s="147">
        <v>14000</v>
      </c>
      <c r="B70" s="504">
        <f>IF(C70="O","",RANK(W70,W$24:W$88,1)+COUNTIF($W$24:W70,W70)-1)</f>
        <v>17</v>
      </c>
      <c r="C70" s="449"/>
      <c r="D70" s="376" t="s">
        <v>197</v>
      </c>
      <c r="E70" s="366">
        <v>59000</v>
      </c>
      <c r="F70" s="367">
        <v>300</v>
      </c>
      <c r="G70" s="366">
        <v>300</v>
      </c>
      <c r="H70" s="378">
        <v>6000</v>
      </c>
      <c r="I70" s="366">
        <f t="shared" si="34"/>
        <v>14000</v>
      </c>
      <c r="J70" s="339">
        <f t="shared" si="28"/>
        <v>49500.000000000007</v>
      </c>
      <c r="K70" s="291">
        <f t="shared" si="31"/>
        <v>108</v>
      </c>
      <c r="L70" s="292">
        <f t="shared" si="32"/>
        <v>0</v>
      </c>
      <c r="M70" s="293">
        <f t="shared" si="15"/>
        <v>49618.80000000001</v>
      </c>
      <c r="N70" s="340" t="str">
        <f t="shared" si="35"/>
        <v/>
      </c>
      <c r="O70" s="743"/>
      <c r="P70" s="604">
        <f t="shared" si="29"/>
        <v>-5500</v>
      </c>
      <c r="Q70" s="152">
        <f t="shared" si="36"/>
        <v>17</v>
      </c>
      <c r="R70" s="47" t="str">
        <f t="shared" si="41"/>
        <v/>
      </c>
      <c r="S70" s="47">
        <f t="shared" si="37"/>
        <v>17</v>
      </c>
      <c r="T70" s="47" t="str">
        <f t="shared" si="42"/>
        <v/>
      </c>
      <c r="U70" s="47">
        <f t="shared" si="17"/>
        <v>17</v>
      </c>
      <c r="V70" s="600">
        <v>5000</v>
      </c>
      <c r="W70" s="464">
        <f t="shared" si="38"/>
        <v>49618.80000000001</v>
      </c>
    </row>
    <row r="71" spans="1:23" ht="17.100000000000001" customHeight="1" thickBot="1">
      <c r="A71" s="147">
        <v>16000</v>
      </c>
      <c r="B71" s="504">
        <f>IF(C71="O","",RANK(W71,W$24:W$88,1)+COUNTIF($W$24:W71,W71)-1)</f>
        <v>27</v>
      </c>
      <c r="C71" s="454"/>
      <c r="D71" s="388" t="s">
        <v>197</v>
      </c>
      <c r="E71" s="389">
        <v>65000</v>
      </c>
      <c r="F71" s="390">
        <v>300</v>
      </c>
      <c r="G71" s="389">
        <v>300</v>
      </c>
      <c r="H71" s="391">
        <v>10000</v>
      </c>
      <c r="I71" s="389">
        <f t="shared" si="34"/>
        <v>16000</v>
      </c>
      <c r="J71" s="392">
        <f t="shared" si="28"/>
        <v>53900.000000000007</v>
      </c>
      <c r="K71" s="393">
        <f t="shared" si="31"/>
        <v>108</v>
      </c>
      <c r="L71" s="394">
        <f t="shared" si="32"/>
        <v>0</v>
      </c>
      <c r="M71" s="395">
        <f t="shared" si="15"/>
        <v>54018.80000000001</v>
      </c>
      <c r="N71" s="396" t="str">
        <f t="shared" si="35"/>
        <v/>
      </c>
      <c r="O71" s="744"/>
      <c r="P71" s="604">
        <f t="shared" si="29"/>
        <v>-9500</v>
      </c>
      <c r="Q71" s="152">
        <f t="shared" si="36"/>
        <v>27</v>
      </c>
      <c r="R71" s="47" t="str">
        <f t="shared" si="41"/>
        <v/>
      </c>
      <c r="S71" s="47">
        <f t="shared" si="37"/>
        <v>27</v>
      </c>
      <c r="T71" s="47" t="str">
        <f t="shared" si="42"/>
        <v/>
      </c>
      <c r="U71" s="47">
        <f t="shared" si="17"/>
        <v>27</v>
      </c>
      <c r="V71" s="600">
        <v>5000</v>
      </c>
      <c r="W71" s="464">
        <f t="shared" si="38"/>
        <v>54018.80000000001</v>
      </c>
    </row>
    <row r="72" spans="1:23" ht="17.100000000000001" customHeight="1">
      <c r="A72" s="147">
        <v>14000</v>
      </c>
      <c r="B72" s="504">
        <f>IF(C72="O","",RANK(W72,W$24:W$88,1)+COUNTIF($W$24:W72,W72)-1)</f>
        <v>6</v>
      </c>
      <c r="C72" s="463"/>
      <c r="D72" s="372" t="s">
        <v>199</v>
      </c>
      <c r="E72" s="373">
        <v>54500</v>
      </c>
      <c r="F72" s="374">
        <v>400</v>
      </c>
      <c r="G72" s="373">
        <v>400</v>
      </c>
      <c r="H72" s="375">
        <v>250</v>
      </c>
      <c r="I72" s="373">
        <f t="shared" si="34"/>
        <v>14000</v>
      </c>
      <c r="J72" s="364">
        <f t="shared" si="28"/>
        <v>44550</v>
      </c>
      <c r="K72" s="281">
        <f t="shared" si="31"/>
        <v>0</v>
      </c>
      <c r="L72" s="282">
        <f t="shared" si="32"/>
        <v>0</v>
      </c>
      <c r="M72" s="283">
        <f t="shared" si="15"/>
        <v>44550</v>
      </c>
      <c r="N72" s="350" t="str">
        <f t="shared" si="35"/>
        <v>데이터(0.25GB) 부족</v>
      </c>
      <c r="O72" s="742" t="s">
        <v>205</v>
      </c>
      <c r="P72" s="604">
        <f t="shared" si="29"/>
        <v>250</v>
      </c>
      <c r="Q72" s="152">
        <f t="shared" si="36"/>
        <v>6</v>
      </c>
      <c r="R72" s="47">
        <f t="shared" ref="R72:R77" si="43">IF(B72=SMALL($B$72:$B$77,1),B72,"")</f>
        <v>6</v>
      </c>
      <c r="S72" s="47" t="str">
        <f t="shared" si="37"/>
        <v/>
      </c>
      <c r="T72" s="47" t="str">
        <f>IF(S72="","",IF(S72=SMALL($S$72:$S$77,1),S72,""))</f>
        <v/>
      </c>
      <c r="U72" s="47">
        <f t="shared" si="17"/>
        <v>6</v>
      </c>
      <c r="V72" s="600">
        <v>5000</v>
      </c>
      <c r="W72" s="464">
        <f t="shared" si="38"/>
        <v>44550</v>
      </c>
    </row>
    <row r="73" spans="1:23" ht="17.100000000000001" customHeight="1">
      <c r="A73" s="147">
        <v>14000</v>
      </c>
      <c r="B73" s="504">
        <f>IF(C73="O","",RANK(W73,W$24:W$88,1)+COUNTIF($W$24:W73,W73)-1)</f>
        <v>16</v>
      </c>
      <c r="C73" s="449"/>
      <c r="D73" s="379" t="s">
        <v>199</v>
      </c>
      <c r="E73" s="380">
        <v>59000</v>
      </c>
      <c r="F73" s="381">
        <v>400</v>
      </c>
      <c r="G73" s="380">
        <v>400</v>
      </c>
      <c r="H73" s="397">
        <v>1000</v>
      </c>
      <c r="I73" s="380">
        <f t="shared" si="34"/>
        <v>14000</v>
      </c>
      <c r="J73" s="383">
        <f t="shared" si="28"/>
        <v>49500.000000000007</v>
      </c>
      <c r="K73" s="384">
        <f t="shared" si="31"/>
        <v>0</v>
      </c>
      <c r="L73" s="385">
        <f t="shared" si="32"/>
        <v>0</v>
      </c>
      <c r="M73" s="386">
        <f t="shared" si="15"/>
        <v>49500.000000000007</v>
      </c>
      <c r="N73" s="387" t="str">
        <f t="shared" si="35"/>
        <v/>
      </c>
      <c r="O73" s="743"/>
      <c r="P73" s="604">
        <f t="shared" si="29"/>
        <v>-500</v>
      </c>
      <c r="Q73" s="152">
        <f t="shared" si="36"/>
        <v>16</v>
      </c>
      <c r="R73" s="47" t="str">
        <f t="shared" si="43"/>
        <v/>
      </c>
      <c r="S73" s="47">
        <f t="shared" si="37"/>
        <v>16</v>
      </c>
      <c r="T73" s="47">
        <f t="shared" ref="T73:T77" si="44">IF(S73="","",IF(S73=SMALL($S$72:$S$77,1),S73,""))</f>
        <v>16</v>
      </c>
      <c r="U73" s="47">
        <f t="shared" si="17"/>
        <v>16</v>
      </c>
      <c r="V73" s="600">
        <v>5000</v>
      </c>
      <c r="W73" s="464">
        <f t="shared" si="38"/>
        <v>49500.000000000007</v>
      </c>
    </row>
    <row r="74" spans="1:23" ht="17.100000000000001" customHeight="1">
      <c r="A74" s="147">
        <v>16000</v>
      </c>
      <c r="B74" s="504">
        <f>IF(C74="O","",RANK(W74,W$24:W$88,1)+COUNTIF($W$24:W74,W74)-1)</f>
        <v>19</v>
      </c>
      <c r="C74" s="449"/>
      <c r="D74" s="376" t="s">
        <v>199</v>
      </c>
      <c r="E74" s="366">
        <v>63000</v>
      </c>
      <c r="F74" s="367">
        <v>400</v>
      </c>
      <c r="G74" s="366">
        <v>400</v>
      </c>
      <c r="H74" s="378">
        <v>2000</v>
      </c>
      <c r="I74" s="366">
        <f t="shared" si="34"/>
        <v>16000</v>
      </c>
      <c r="J74" s="339">
        <f t="shared" si="28"/>
        <v>51700.000000000007</v>
      </c>
      <c r="K74" s="291">
        <f t="shared" si="31"/>
        <v>0</v>
      </c>
      <c r="L74" s="292">
        <f t="shared" si="32"/>
        <v>0</v>
      </c>
      <c r="M74" s="293">
        <f t="shared" si="15"/>
        <v>51700.000000000007</v>
      </c>
      <c r="N74" s="340" t="str">
        <f t="shared" si="35"/>
        <v/>
      </c>
      <c r="O74" s="743"/>
      <c r="P74" s="604">
        <f t="shared" si="29"/>
        <v>-1500</v>
      </c>
      <c r="Q74" s="152">
        <f t="shared" si="36"/>
        <v>19</v>
      </c>
      <c r="R74" s="47" t="str">
        <f t="shared" si="43"/>
        <v/>
      </c>
      <c r="S74" s="47">
        <f t="shared" si="37"/>
        <v>19</v>
      </c>
      <c r="T74" s="47" t="str">
        <f t="shared" si="44"/>
        <v/>
      </c>
      <c r="U74" s="47">
        <f t="shared" si="17"/>
        <v>19</v>
      </c>
      <c r="V74" s="600">
        <v>5000</v>
      </c>
      <c r="W74" s="464">
        <f t="shared" si="38"/>
        <v>51700.000000000007</v>
      </c>
    </row>
    <row r="75" spans="1:23" ht="17.100000000000001" customHeight="1">
      <c r="A75" s="147">
        <v>16000</v>
      </c>
      <c r="B75" s="504">
        <f>IF(C75="O","",RANK(W75,W$24:W$88,1)+COUNTIF($W$24:W75,W75)-1)</f>
        <v>21</v>
      </c>
      <c r="C75" s="449"/>
      <c r="D75" s="379" t="s">
        <v>200</v>
      </c>
      <c r="E75" s="380">
        <v>64000</v>
      </c>
      <c r="F75" s="381">
        <v>400</v>
      </c>
      <c r="G75" s="380">
        <v>400</v>
      </c>
      <c r="H75" s="382">
        <v>3000</v>
      </c>
      <c r="I75" s="380">
        <f t="shared" si="34"/>
        <v>16000</v>
      </c>
      <c r="J75" s="383">
        <f t="shared" si="28"/>
        <v>52800.000000000007</v>
      </c>
      <c r="K75" s="384">
        <f t="shared" si="31"/>
        <v>0</v>
      </c>
      <c r="L75" s="385">
        <f t="shared" si="32"/>
        <v>0</v>
      </c>
      <c r="M75" s="386">
        <f t="shared" si="15"/>
        <v>52800.000000000007</v>
      </c>
      <c r="N75" s="387" t="str">
        <f t="shared" si="35"/>
        <v/>
      </c>
      <c r="O75" s="743"/>
      <c r="P75" s="604">
        <f t="shared" si="29"/>
        <v>-2500</v>
      </c>
      <c r="Q75" s="152">
        <f t="shared" si="36"/>
        <v>21</v>
      </c>
      <c r="R75" s="47" t="str">
        <f t="shared" si="43"/>
        <v/>
      </c>
      <c r="S75" s="47">
        <f t="shared" si="37"/>
        <v>21</v>
      </c>
      <c r="T75" s="47" t="str">
        <f t="shared" si="44"/>
        <v/>
      </c>
      <c r="U75" s="47">
        <f t="shared" si="17"/>
        <v>21</v>
      </c>
      <c r="V75" s="600">
        <v>5000</v>
      </c>
      <c r="W75" s="464">
        <f t="shared" si="38"/>
        <v>52800.000000000007</v>
      </c>
    </row>
    <row r="76" spans="1:23" ht="17.100000000000001" customHeight="1">
      <c r="A76" s="147">
        <v>16000</v>
      </c>
      <c r="B76" s="504">
        <f>IF(C76="O","",RANK(W76,W$24:W$88,1)+COUNTIF($W$24:W76,W76)-1)</f>
        <v>29</v>
      </c>
      <c r="C76" s="449"/>
      <c r="D76" s="376" t="s">
        <v>200</v>
      </c>
      <c r="E76" s="366">
        <v>66000</v>
      </c>
      <c r="F76" s="367">
        <v>400</v>
      </c>
      <c r="G76" s="366">
        <v>400</v>
      </c>
      <c r="H76" s="378">
        <v>6000</v>
      </c>
      <c r="I76" s="366">
        <f t="shared" si="34"/>
        <v>16000</v>
      </c>
      <c r="J76" s="339">
        <f t="shared" si="28"/>
        <v>55000.000000000007</v>
      </c>
      <c r="K76" s="291">
        <f t="shared" si="31"/>
        <v>0</v>
      </c>
      <c r="L76" s="292">
        <f t="shared" si="32"/>
        <v>0</v>
      </c>
      <c r="M76" s="293">
        <f t="shared" si="15"/>
        <v>55000.000000000007</v>
      </c>
      <c r="N76" s="340" t="str">
        <f t="shared" si="35"/>
        <v/>
      </c>
      <c r="O76" s="743"/>
      <c r="P76" s="604">
        <f t="shared" si="29"/>
        <v>-5500</v>
      </c>
      <c r="Q76" s="152">
        <f t="shared" si="36"/>
        <v>29</v>
      </c>
      <c r="R76" s="47" t="str">
        <f t="shared" si="43"/>
        <v/>
      </c>
      <c r="S76" s="47">
        <f t="shared" si="37"/>
        <v>29</v>
      </c>
      <c r="T76" s="47" t="str">
        <f t="shared" si="44"/>
        <v/>
      </c>
      <c r="U76" s="47">
        <f t="shared" si="17"/>
        <v>29</v>
      </c>
      <c r="V76" s="600">
        <v>5000</v>
      </c>
      <c r="W76" s="464">
        <f t="shared" si="38"/>
        <v>55000.000000000007</v>
      </c>
    </row>
    <row r="77" spans="1:23" ht="17.100000000000001" customHeight="1" thickBot="1">
      <c r="A77" s="147">
        <v>16000</v>
      </c>
      <c r="B77" s="504">
        <f>IF(C77="O","",RANK(W77,W$24:W$88,1)+COUNTIF($W$24:W77,W77)-1)</f>
        <v>34</v>
      </c>
      <c r="C77" s="450"/>
      <c r="D77" s="388" t="s">
        <v>199</v>
      </c>
      <c r="E77" s="389">
        <v>69000</v>
      </c>
      <c r="F77" s="390">
        <v>400</v>
      </c>
      <c r="G77" s="389">
        <v>400</v>
      </c>
      <c r="H77" s="391">
        <v>10000</v>
      </c>
      <c r="I77" s="389">
        <f t="shared" si="34"/>
        <v>16000</v>
      </c>
      <c r="J77" s="392">
        <f t="shared" si="28"/>
        <v>58300.000000000007</v>
      </c>
      <c r="K77" s="393">
        <f t="shared" si="31"/>
        <v>0</v>
      </c>
      <c r="L77" s="394">
        <f t="shared" si="32"/>
        <v>0</v>
      </c>
      <c r="M77" s="395">
        <f t="shared" si="15"/>
        <v>58300.000000000007</v>
      </c>
      <c r="N77" s="396" t="str">
        <f t="shared" si="35"/>
        <v/>
      </c>
      <c r="O77" s="744"/>
      <c r="P77" s="604">
        <f t="shared" si="29"/>
        <v>-9500</v>
      </c>
      <c r="Q77" s="152">
        <f t="shared" si="36"/>
        <v>34</v>
      </c>
      <c r="R77" s="47" t="str">
        <f t="shared" si="43"/>
        <v/>
      </c>
      <c r="S77" s="47">
        <f t="shared" si="37"/>
        <v>34</v>
      </c>
      <c r="T77" s="47" t="str">
        <f t="shared" si="44"/>
        <v/>
      </c>
      <c r="U77" s="47">
        <f t="shared" si="17"/>
        <v>34</v>
      </c>
      <c r="V77" s="600">
        <v>8000</v>
      </c>
      <c r="W77" s="464">
        <f t="shared" si="38"/>
        <v>58300.000000000007</v>
      </c>
    </row>
    <row r="78" spans="1:23" ht="17.100000000000001" customHeight="1">
      <c r="A78" s="147">
        <v>16000</v>
      </c>
      <c r="B78" s="504">
        <f>IF(C78="O","",RANK(W78,W$24:W$88,1)+COUNTIF($W$24:W78,W78)-1)</f>
        <v>22</v>
      </c>
      <c r="C78" s="458"/>
      <c r="D78" s="372" t="s">
        <v>201</v>
      </c>
      <c r="E78" s="373">
        <v>64500</v>
      </c>
      <c r="F78" s="398" t="s">
        <v>38</v>
      </c>
      <c r="G78" s="399" t="s">
        <v>15</v>
      </c>
      <c r="H78" s="375">
        <v>250</v>
      </c>
      <c r="I78" s="373">
        <f t="shared" si="34"/>
        <v>16000</v>
      </c>
      <c r="J78" s="364">
        <f t="shared" si="28"/>
        <v>53350.000000000007</v>
      </c>
      <c r="K78" s="281">
        <f t="shared" ref="K78:K83" si="45">IF(F$8&lt;F78,0,((F$8-F78)*60*1.8))</f>
        <v>0</v>
      </c>
      <c r="L78" s="282">
        <f t="shared" si="20"/>
        <v>0</v>
      </c>
      <c r="M78" s="283">
        <f t="shared" si="15"/>
        <v>53350.000000000007</v>
      </c>
      <c r="N78" s="350" t="str">
        <f t="shared" si="35"/>
        <v>데이터(0.25GB) 부족</v>
      </c>
      <c r="O78" s="742" t="s">
        <v>207</v>
      </c>
      <c r="P78" s="604">
        <f t="shared" si="29"/>
        <v>250</v>
      </c>
      <c r="Q78" s="152">
        <f t="shared" si="36"/>
        <v>22</v>
      </c>
      <c r="R78" s="47">
        <f t="shared" ref="R78:R83" si="46">IF(B78=SMALL($B$78:$B$83,1),B78,"")</f>
        <v>22</v>
      </c>
      <c r="S78" s="47" t="str">
        <f t="shared" si="37"/>
        <v/>
      </c>
      <c r="T78" s="47" t="str">
        <f>IF(S78="","",IF(S78=SMALL($S$78:$S$83,1),S78,""))</f>
        <v/>
      </c>
      <c r="U78" s="47">
        <f t="shared" si="17"/>
        <v>22</v>
      </c>
      <c r="V78" s="600">
        <v>5000</v>
      </c>
      <c r="W78" s="464">
        <f t="shared" si="38"/>
        <v>53350.000000000007</v>
      </c>
    </row>
    <row r="79" spans="1:23" ht="17.100000000000001" customHeight="1">
      <c r="A79" s="147">
        <v>16000</v>
      </c>
      <c r="B79" s="504">
        <f>IF(C79="O","",RANK(W79,W$24:W$88,1)+COUNTIF($W$24:W79,W79)-1)</f>
        <v>26</v>
      </c>
      <c r="C79" s="449"/>
      <c r="D79" s="379" t="s">
        <v>201</v>
      </c>
      <c r="E79" s="380">
        <v>65000</v>
      </c>
      <c r="F79" s="400" t="s">
        <v>38</v>
      </c>
      <c r="G79" s="401" t="s">
        <v>15</v>
      </c>
      <c r="H79" s="397">
        <v>1000</v>
      </c>
      <c r="I79" s="380">
        <f t="shared" si="34"/>
        <v>16000</v>
      </c>
      <c r="J79" s="383">
        <f t="shared" si="28"/>
        <v>53900.000000000007</v>
      </c>
      <c r="K79" s="384">
        <f t="shared" si="45"/>
        <v>0</v>
      </c>
      <c r="L79" s="385">
        <f t="shared" si="20"/>
        <v>0</v>
      </c>
      <c r="M79" s="386">
        <f t="shared" si="15"/>
        <v>53900.000000000007</v>
      </c>
      <c r="N79" s="387" t="str">
        <f t="shared" si="35"/>
        <v/>
      </c>
      <c r="O79" s="743"/>
      <c r="P79" s="604">
        <f t="shared" si="29"/>
        <v>-500</v>
      </c>
      <c r="Q79" s="152">
        <f t="shared" si="36"/>
        <v>26</v>
      </c>
      <c r="R79" s="47" t="str">
        <f t="shared" si="46"/>
        <v/>
      </c>
      <c r="S79" s="47">
        <f t="shared" si="37"/>
        <v>26</v>
      </c>
      <c r="T79" s="47">
        <f t="shared" ref="T79:T83" si="47">IF(S79="","",IF(S79=SMALL($S$78:$S$83,1),S79,""))</f>
        <v>26</v>
      </c>
      <c r="U79" s="47">
        <f t="shared" si="17"/>
        <v>26</v>
      </c>
      <c r="V79" s="600">
        <v>5000</v>
      </c>
      <c r="W79" s="464">
        <f t="shared" si="38"/>
        <v>53900.000000000007</v>
      </c>
    </row>
    <row r="80" spans="1:23" ht="17.100000000000001" customHeight="1">
      <c r="A80" s="147">
        <v>16000</v>
      </c>
      <c r="B80" s="504">
        <f>IF(C80="O","",RANK(W80,W$24:W$88,1)+COUNTIF($W$24:W80,W80)-1)</f>
        <v>28</v>
      </c>
      <c r="C80" s="449"/>
      <c r="D80" s="376" t="s">
        <v>201</v>
      </c>
      <c r="E80" s="366">
        <v>65500</v>
      </c>
      <c r="F80" s="402" t="s">
        <v>38</v>
      </c>
      <c r="G80" s="403" t="s">
        <v>15</v>
      </c>
      <c r="H80" s="378">
        <v>2000</v>
      </c>
      <c r="I80" s="366">
        <f t="shared" si="34"/>
        <v>16000</v>
      </c>
      <c r="J80" s="339">
        <f t="shared" si="28"/>
        <v>54450.000000000007</v>
      </c>
      <c r="K80" s="291">
        <f t="shared" si="45"/>
        <v>0</v>
      </c>
      <c r="L80" s="292">
        <f t="shared" si="20"/>
        <v>0</v>
      </c>
      <c r="M80" s="293">
        <f t="shared" si="15"/>
        <v>54450.000000000007</v>
      </c>
      <c r="N80" s="340" t="str">
        <f t="shared" si="35"/>
        <v/>
      </c>
      <c r="O80" s="743"/>
      <c r="P80" s="604">
        <f t="shared" si="29"/>
        <v>-1500</v>
      </c>
      <c r="Q80" s="152">
        <f t="shared" si="36"/>
        <v>28</v>
      </c>
      <c r="R80" s="47" t="str">
        <f t="shared" si="46"/>
        <v/>
      </c>
      <c r="S80" s="47">
        <f t="shared" si="37"/>
        <v>28</v>
      </c>
      <c r="T80" s="47" t="str">
        <f t="shared" si="47"/>
        <v/>
      </c>
      <c r="U80" s="47">
        <f t="shared" si="17"/>
        <v>28</v>
      </c>
      <c r="V80" s="600">
        <v>5000</v>
      </c>
      <c r="W80" s="464">
        <f t="shared" si="38"/>
        <v>54450.000000000007</v>
      </c>
    </row>
    <row r="81" spans="1:25" ht="17.100000000000001" customHeight="1">
      <c r="A81" s="147">
        <v>16000</v>
      </c>
      <c r="B81" s="504">
        <f>IF(C81="O","",RANK(W81,W$24:W$88,1)+COUNTIF($W$24:W81,W81)-1)</f>
        <v>30</v>
      </c>
      <c r="C81" s="449"/>
      <c r="D81" s="379" t="s">
        <v>201</v>
      </c>
      <c r="E81" s="380">
        <v>66000</v>
      </c>
      <c r="F81" s="400" t="s">
        <v>38</v>
      </c>
      <c r="G81" s="401" t="s">
        <v>15</v>
      </c>
      <c r="H81" s="382">
        <v>3000</v>
      </c>
      <c r="I81" s="380">
        <f t="shared" si="34"/>
        <v>16000</v>
      </c>
      <c r="J81" s="383">
        <f t="shared" si="28"/>
        <v>55000.000000000007</v>
      </c>
      <c r="K81" s="384">
        <f t="shared" si="45"/>
        <v>0</v>
      </c>
      <c r="L81" s="385">
        <f t="shared" si="20"/>
        <v>0</v>
      </c>
      <c r="M81" s="386">
        <f t="shared" si="15"/>
        <v>55000.000000000007</v>
      </c>
      <c r="N81" s="387" t="str">
        <f t="shared" si="35"/>
        <v/>
      </c>
      <c r="O81" s="743"/>
      <c r="P81" s="604">
        <f t="shared" si="29"/>
        <v>-2500</v>
      </c>
      <c r="Q81" s="152">
        <f t="shared" si="36"/>
        <v>30</v>
      </c>
      <c r="R81" s="47" t="str">
        <f t="shared" si="46"/>
        <v/>
      </c>
      <c r="S81" s="47">
        <f t="shared" si="37"/>
        <v>30</v>
      </c>
      <c r="T81" s="47" t="str">
        <f t="shared" si="47"/>
        <v/>
      </c>
      <c r="U81" s="47">
        <f t="shared" si="17"/>
        <v>30</v>
      </c>
      <c r="V81" s="600">
        <v>5000</v>
      </c>
      <c r="W81" s="464">
        <f t="shared" si="38"/>
        <v>55000.000000000007</v>
      </c>
    </row>
    <row r="82" spans="1:25" ht="17.100000000000001" customHeight="1">
      <c r="A82" s="147">
        <v>18000</v>
      </c>
      <c r="B82" s="504">
        <f>IF(C82="O","",RANK(W82,W$24:W$88,1)+COUNTIF($W$24:W82,W82)-1)</f>
        <v>40</v>
      </c>
      <c r="C82" s="449"/>
      <c r="D82" s="376" t="s">
        <v>201</v>
      </c>
      <c r="E82" s="366">
        <v>76000</v>
      </c>
      <c r="F82" s="402" t="s">
        <v>38</v>
      </c>
      <c r="G82" s="403" t="s">
        <v>15</v>
      </c>
      <c r="H82" s="378">
        <v>6000</v>
      </c>
      <c r="I82" s="366">
        <f t="shared" si="34"/>
        <v>18000</v>
      </c>
      <c r="J82" s="339">
        <f t="shared" si="28"/>
        <v>63800.000000000007</v>
      </c>
      <c r="K82" s="291">
        <f t="shared" si="45"/>
        <v>0</v>
      </c>
      <c r="L82" s="292">
        <f t="shared" si="20"/>
        <v>0</v>
      </c>
      <c r="M82" s="293">
        <f t="shared" si="15"/>
        <v>63800.000000000007</v>
      </c>
      <c r="N82" s="340" t="str">
        <f t="shared" si="35"/>
        <v/>
      </c>
      <c r="O82" s="743"/>
      <c r="P82" s="604">
        <f t="shared" si="29"/>
        <v>-5500</v>
      </c>
      <c r="Q82" s="152">
        <f t="shared" si="36"/>
        <v>40</v>
      </c>
      <c r="R82" s="47" t="str">
        <f t="shared" si="46"/>
        <v/>
      </c>
      <c r="S82" s="47">
        <f t="shared" si="37"/>
        <v>40</v>
      </c>
      <c r="T82" s="47" t="str">
        <f t="shared" si="47"/>
        <v/>
      </c>
      <c r="U82" s="47">
        <f t="shared" si="17"/>
        <v>40</v>
      </c>
      <c r="V82" s="600">
        <v>8000</v>
      </c>
      <c r="W82" s="464">
        <f t="shared" si="38"/>
        <v>63800.000000000007</v>
      </c>
    </row>
    <row r="83" spans="1:25" ht="17.100000000000001" customHeight="1" thickBot="1">
      <c r="A83" s="147">
        <v>18000</v>
      </c>
      <c r="B83" s="504">
        <f>IF(C83="O","",RANK(W83,W$24:W$88,1)+COUNTIF($W$24:W83,W83)-1)</f>
        <v>49</v>
      </c>
      <c r="C83" s="454"/>
      <c r="D83" s="388" t="s">
        <v>201</v>
      </c>
      <c r="E83" s="389">
        <v>84000</v>
      </c>
      <c r="F83" s="404" t="s">
        <v>38</v>
      </c>
      <c r="G83" s="405" t="s">
        <v>15</v>
      </c>
      <c r="H83" s="391">
        <v>10000</v>
      </c>
      <c r="I83" s="389">
        <f t="shared" si="34"/>
        <v>18000</v>
      </c>
      <c r="J83" s="392">
        <f t="shared" si="28"/>
        <v>72600</v>
      </c>
      <c r="K83" s="393">
        <f t="shared" si="45"/>
        <v>0</v>
      </c>
      <c r="L83" s="394">
        <f t="shared" si="20"/>
        <v>0</v>
      </c>
      <c r="M83" s="395">
        <f t="shared" si="15"/>
        <v>72600</v>
      </c>
      <c r="N83" s="396" t="str">
        <f t="shared" si="35"/>
        <v/>
      </c>
      <c r="O83" s="744"/>
      <c r="P83" s="604">
        <f t="shared" si="29"/>
        <v>-9500</v>
      </c>
      <c r="Q83" s="152">
        <f t="shared" si="36"/>
        <v>49</v>
      </c>
      <c r="R83" s="47" t="str">
        <f t="shared" si="46"/>
        <v/>
      </c>
      <c r="S83" s="47">
        <f t="shared" si="37"/>
        <v>49</v>
      </c>
      <c r="T83" s="47" t="str">
        <f t="shared" si="47"/>
        <v/>
      </c>
      <c r="U83" s="47">
        <f t="shared" si="17"/>
        <v>49</v>
      </c>
      <c r="V83" s="600">
        <v>8000</v>
      </c>
      <c r="W83" s="464">
        <f t="shared" si="38"/>
        <v>72600</v>
      </c>
    </row>
    <row r="84" spans="1:25" ht="17.100000000000001" customHeight="1">
      <c r="A84" s="147">
        <v>16000</v>
      </c>
      <c r="B84" s="504">
        <f>IF(C84="O","",RANK(W84,W$24:W$88,1)+COUNTIF($W$24:W84,W84)-1)</f>
        <v>52</v>
      </c>
      <c r="C84" s="463"/>
      <c r="D84" s="372" t="s">
        <v>228</v>
      </c>
      <c r="E84" s="373">
        <v>67000</v>
      </c>
      <c r="F84" s="374">
        <v>100</v>
      </c>
      <c r="G84" s="373">
        <v>100</v>
      </c>
      <c r="H84" s="406" t="s">
        <v>15</v>
      </c>
      <c r="I84" s="373">
        <f t="shared" si="34"/>
        <v>16000</v>
      </c>
      <c r="J84" s="364">
        <f t="shared" si="28"/>
        <v>56100.000000000007</v>
      </c>
      <c r="K84" s="281">
        <f>IF(F$8&lt;F84,0,((F$8-F84)*60*1.8))*IF($N$10="O",0.65,1)</f>
        <v>21708</v>
      </c>
      <c r="L84" s="282">
        <f>IF($F$10&lt;$G84,0,($F$10-G84)*20)*IF($N$10="O",0.65,1)</f>
        <v>2020</v>
      </c>
      <c r="M84" s="283">
        <f t="shared" si="15"/>
        <v>82200.800000000017</v>
      </c>
      <c r="N84" s="350" t="str">
        <f t="shared" si="35"/>
        <v/>
      </c>
      <c r="O84" s="739" t="s">
        <v>206</v>
      </c>
      <c r="P84" s="604">
        <v>1</v>
      </c>
      <c r="Q84" s="152">
        <f t="shared" si="36"/>
        <v>52</v>
      </c>
      <c r="R84" s="47">
        <f>B84</f>
        <v>52</v>
      </c>
      <c r="S84" s="47">
        <f t="shared" si="37"/>
        <v>52</v>
      </c>
      <c r="T84" s="47">
        <f t="shared" si="16"/>
        <v>52</v>
      </c>
      <c r="U84" s="47">
        <f t="shared" si="17"/>
        <v>52</v>
      </c>
      <c r="V84" s="600">
        <v>8000</v>
      </c>
      <c r="W84" s="464">
        <f t="shared" si="38"/>
        <v>82200.800000000017</v>
      </c>
    </row>
    <row r="85" spans="1:25" ht="17.100000000000001" customHeight="1">
      <c r="A85" s="147">
        <v>18000</v>
      </c>
      <c r="B85" s="504">
        <f>IF(C85="O","",RANK(W85,W$24:W$88,1)+COUNTIF($W$24:W85,W85)-1)</f>
        <v>51</v>
      </c>
      <c r="C85" s="449"/>
      <c r="D85" s="379" t="s">
        <v>229</v>
      </c>
      <c r="E85" s="380">
        <v>73500</v>
      </c>
      <c r="F85" s="381">
        <v>180</v>
      </c>
      <c r="G85" s="380">
        <v>180</v>
      </c>
      <c r="H85" s="407" t="s">
        <v>15</v>
      </c>
      <c r="I85" s="380">
        <f t="shared" si="34"/>
        <v>18000</v>
      </c>
      <c r="J85" s="383">
        <f t="shared" si="28"/>
        <v>61050.000000000007</v>
      </c>
      <c r="K85" s="384">
        <f t="shared" ref="K85:K88" si="48">IF(F$8&lt;F85,0,((F$8-F85)*60*1.8))*IF($N$10="O",0.65,1)</f>
        <v>13068</v>
      </c>
      <c r="L85" s="385">
        <f t="shared" ref="L85:L88" si="49">IF($F$10&lt;$G85,0,($F$10-G85)*20)*IF($N$10="O",0.65,1)</f>
        <v>420</v>
      </c>
      <c r="M85" s="386">
        <f t="shared" si="15"/>
        <v>75886.8</v>
      </c>
      <c r="N85" s="387" t="str">
        <f t="shared" si="35"/>
        <v/>
      </c>
      <c r="O85" s="740"/>
      <c r="P85" s="604">
        <v>1</v>
      </c>
      <c r="Q85" s="152">
        <f t="shared" si="36"/>
        <v>51</v>
      </c>
      <c r="R85" s="47">
        <f>B85</f>
        <v>51</v>
      </c>
      <c r="S85" s="47">
        <f t="shared" si="37"/>
        <v>51</v>
      </c>
      <c r="T85" s="47">
        <f t="shared" si="16"/>
        <v>51</v>
      </c>
      <c r="U85" s="47">
        <f t="shared" si="17"/>
        <v>51</v>
      </c>
      <c r="V85" s="600">
        <v>8000</v>
      </c>
      <c r="W85" s="464">
        <f t="shared" si="38"/>
        <v>75886.8</v>
      </c>
    </row>
    <row r="86" spans="1:25" ht="17.100000000000001" customHeight="1">
      <c r="A86" s="147">
        <v>18000</v>
      </c>
      <c r="B86" s="504">
        <f>IF(C86="O","",RANK(W86,W$24:W$88,1)+COUNTIF($W$24:W86,W86)-1)</f>
        <v>42</v>
      </c>
      <c r="C86" s="449"/>
      <c r="D86" s="376" t="s">
        <v>230</v>
      </c>
      <c r="E86" s="366">
        <v>77000</v>
      </c>
      <c r="F86" s="367">
        <v>300</v>
      </c>
      <c r="G86" s="366">
        <v>300</v>
      </c>
      <c r="H86" s="368" t="s">
        <v>15</v>
      </c>
      <c r="I86" s="366">
        <f t="shared" si="34"/>
        <v>18000</v>
      </c>
      <c r="J86" s="339">
        <f t="shared" si="28"/>
        <v>64900.000000000007</v>
      </c>
      <c r="K86" s="291">
        <f t="shared" si="48"/>
        <v>108</v>
      </c>
      <c r="L86" s="292">
        <f t="shared" si="49"/>
        <v>0</v>
      </c>
      <c r="M86" s="293">
        <f t="shared" si="15"/>
        <v>65018.80000000001</v>
      </c>
      <c r="N86" s="340" t="str">
        <f t="shared" si="35"/>
        <v/>
      </c>
      <c r="O86" s="740"/>
      <c r="P86" s="604">
        <v>1</v>
      </c>
      <c r="Q86" s="152">
        <f t="shared" si="36"/>
        <v>42</v>
      </c>
      <c r="R86" s="47">
        <f>B86</f>
        <v>42</v>
      </c>
      <c r="S86" s="47">
        <f t="shared" si="37"/>
        <v>42</v>
      </c>
      <c r="T86" s="47">
        <f t="shared" si="16"/>
        <v>42</v>
      </c>
      <c r="U86" s="47">
        <f t="shared" si="17"/>
        <v>42</v>
      </c>
      <c r="V86" s="600">
        <v>8000</v>
      </c>
      <c r="W86" s="464">
        <f t="shared" si="38"/>
        <v>65018.80000000001</v>
      </c>
    </row>
    <row r="87" spans="1:25" ht="17.100000000000001" customHeight="1">
      <c r="A87" s="147">
        <v>18000</v>
      </c>
      <c r="B87" s="504">
        <f>IF(C87="O","",RANK(W87,W$24:W$88,1)+COUNTIF($W$24:W87,W87)-1)</f>
        <v>50</v>
      </c>
      <c r="C87" s="449"/>
      <c r="D87" s="379" t="s">
        <v>231</v>
      </c>
      <c r="E87" s="380">
        <v>84500</v>
      </c>
      <c r="F87" s="381">
        <v>400</v>
      </c>
      <c r="G87" s="380">
        <v>400</v>
      </c>
      <c r="H87" s="407" t="s">
        <v>15</v>
      </c>
      <c r="I87" s="380">
        <f t="shared" si="34"/>
        <v>18000</v>
      </c>
      <c r="J87" s="383">
        <f t="shared" si="28"/>
        <v>73150</v>
      </c>
      <c r="K87" s="384">
        <f t="shared" si="48"/>
        <v>0</v>
      </c>
      <c r="L87" s="385">
        <f t="shared" si="49"/>
        <v>0</v>
      </c>
      <c r="M87" s="386">
        <f t="shared" si="15"/>
        <v>73150</v>
      </c>
      <c r="N87" s="387" t="str">
        <f t="shared" si="35"/>
        <v/>
      </c>
      <c r="O87" s="740"/>
      <c r="P87" s="604">
        <v>1</v>
      </c>
      <c r="Q87" s="152">
        <f t="shared" si="36"/>
        <v>50</v>
      </c>
      <c r="R87" s="47">
        <f>B87</f>
        <v>50</v>
      </c>
      <c r="S87" s="47">
        <f t="shared" si="37"/>
        <v>50</v>
      </c>
      <c r="T87" s="47">
        <f t="shared" si="16"/>
        <v>50</v>
      </c>
      <c r="U87" s="47">
        <f t="shared" si="17"/>
        <v>50</v>
      </c>
      <c r="V87" s="600">
        <v>8000</v>
      </c>
      <c r="W87" s="464">
        <f t="shared" si="38"/>
        <v>73150</v>
      </c>
    </row>
    <row r="88" spans="1:25" ht="17.100000000000001" customHeight="1" thickBot="1">
      <c r="A88" s="147">
        <v>24000</v>
      </c>
      <c r="B88" s="504">
        <f>IF(C88="O","",RANK(W88,W$24:W$88,1)+COUNTIF($W$24:W88,W88)-1)</f>
        <v>55</v>
      </c>
      <c r="C88" s="450"/>
      <c r="D88" s="408" t="s">
        <v>232</v>
      </c>
      <c r="E88" s="409">
        <v>100000</v>
      </c>
      <c r="F88" s="410" t="s">
        <v>38</v>
      </c>
      <c r="G88" s="411" t="s">
        <v>15</v>
      </c>
      <c r="H88" s="412" t="s">
        <v>15</v>
      </c>
      <c r="I88" s="409">
        <f t="shared" si="34"/>
        <v>24000</v>
      </c>
      <c r="J88" s="343">
        <f t="shared" si="28"/>
        <v>83600</v>
      </c>
      <c r="K88" s="301">
        <f t="shared" si="48"/>
        <v>0</v>
      </c>
      <c r="L88" s="302">
        <f t="shared" si="49"/>
        <v>0</v>
      </c>
      <c r="M88" s="303">
        <f t="shared" si="15"/>
        <v>83600</v>
      </c>
      <c r="N88" s="361" t="str">
        <f t="shared" si="35"/>
        <v/>
      </c>
      <c r="O88" s="741"/>
      <c r="P88" s="604">
        <v>1</v>
      </c>
      <c r="Q88" s="152">
        <f t="shared" si="36"/>
        <v>55</v>
      </c>
      <c r="R88" s="47">
        <f>B88</f>
        <v>55</v>
      </c>
      <c r="S88" s="47">
        <f t="shared" si="37"/>
        <v>55</v>
      </c>
      <c r="T88" s="47">
        <f t="shared" si="16"/>
        <v>55</v>
      </c>
      <c r="U88" s="47">
        <f t="shared" si="17"/>
        <v>55</v>
      </c>
      <c r="V88" s="600">
        <v>8000</v>
      </c>
      <c r="W88" s="464">
        <f t="shared" si="38"/>
        <v>83600</v>
      </c>
    </row>
    <row r="89" spans="1:25" s="41" customFormat="1" ht="17.100000000000001" customHeight="1">
      <c r="A89" s="147"/>
      <c r="B89" s="147"/>
      <c r="P89" s="108"/>
      <c r="Q89" s="107"/>
      <c r="R89" s="107"/>
      <c r="S89" s="107"/>
      <c r="T89" s="107"/>
      <c r="U89" s="107"/>
      <c r="V89" s="600"/>
      <c r="W89" s="601"/>
      <c r="X89" s="274"/>
      <c r="Y89" s="249"/>
    </row>
    <row r="90" spans="1:25" s="41" customFormat="1" ht="17.100000000000001" customHeight="1">
      <c r="A90" s="147"/>
      <c r="B90" s="147"/>
      <c r="D90" s="145" t="s">
        <v>236</v>
      </c>
      <c r="P90" s="108"/>
      <c r="Q90" s="107"/>
      <c r="R90" s="107"/>
      <c r="S90" s="107"/>
      <c r="T90" s="107"/>
      <c r="U90" s="107"/>
      <c r="V90" s="600"/>
      <c r="W90" s="601"/>
      <c r="X90" s="274"/>
      <c r="Y90" s="249"/>
    </row>
    <row r="91" spans="1:25" s="41" customFormat="1" ht="17.100000000000001" customHeight="1">
      <c r="A91" s="147"/>
      <c r="B91" s="147"/>
      <c r="D91" s="115" t="s">
        <v>237</v>
      </c>
      <c r="P91" s="108"/>
      <c r="Q91" s="107"/>
      <c r="R91" s="107"/>
      <c r="S91" s="107"/>
      <c r="T91" s="107"/>
      <c r="U91" s="107"/>
      <c r="V91" s="600"/>
      <c r="W91" s="601"/>
      <c r="X91" s="274"/>
      <c r="Y91" s="249"/>
    </row>
    <row r="92" spans="1:25" s="41" customFormat="1" ht="17.100000000000001" customHeight="1">
      <c r="A92" s="147"/>
      <c r="B92" s="147"/>
      <c r="D92" s="115" t="s">
        <v>238</v>
      </c>
      <c r="P92" s="108"/>
      <c r="Q92" s="107"/>
      <c r="R92" s="107"/>
      <c r="S92" s="107"/>
      <c r="T92" s="107"/>
      <c r="U92" s="107"/>
      <c r="V92" s="600"/>
      <c r="W92" s="601"/>
      <c r="X92" s="274"/>
      <c r="Y92" s="249"/>
    </row>
    <row r="93" spans="1:25" s="41" customFormat="1" ht="17.100000000000001" customHeight="1">
      <c r="A93" s="147"/>
      <c r="B93" s="147"/>
      <c r="D93" s="115" t="s">
        <v>239</v>
      </c>
      <c r="P93" s="108"/>
      <c r="Q93" s="107"/>
      <c r="R93" s="107"/>
      <c r="S93" s="107"/>
      <c r="T93" s="107"/>
      <c r="U93" s="107"/>
      <c r="V93" s="600"/>
      <c r="W93" s="601"/>
      <c r="X93" s="274"/>
      <c r="Y93" s="249"/>
    </row>
    <row r="94" spans="1:25" s="41" customFormat="1" ht="17.100000000000001" customHeight="1">
      <c r="A94" s="147"/>
      <c r="B94" s="147"/>
      <c r="D94" s="115" t="s">
        <v>240</v>
      </c>
      <c r="P94" s="108"/>
      <c r="Q94" s="107"/>
      <c r="R94" s="107"/>
      <c r="S94" s="107"/>
      <c r="T94" s="107"/>
      <c r="U94" s="107"/>
      <c r="V94" s="600"/>
      <c r="W94" s="601"/>
      <c r="X94" s="274"/>
      <c r="Y94" s="249"/>
    </row>
    <row r="95" spans="1:25" s="41" customFormat="1" ht="17.100000000000001" customHeight="1">
      <c r="A95" s="147"/>
      <c r="B95" s="147"/>
      <c r="D95" s="115" t="s">
        <v>241</v>
      </c>
      <c r="P95" s="108"/>
      <c r="Q95" s="107"/>
      <c r="R95" s="107"/>
      <c r="S95" s="107"/>
      <c r="T95" s="107"/>
      <c r="U95" s="107"/>
      <c r="V95" s="600"/>
      <c r="W95" s="601"/>
      <c r="X95" s="274"/>
      <c r="Y95" s="249"/>
    </row>
    <row r="96" spans="1:25" s="41" customFormat="1" ht="17.100000000000001" customHeight="1">
      <c r="A96" s="147"/>
      <c r="B96" s="147"/>
      <c r="P96" s="108"/>
      <c r="Q96" s="107"/>
      <c r="R96" s="107"/>
      <c r="S96" s="107"/>
      <c r="T96" s="107"/>
      <c r="U96" s="107"/>
      <c r="V96" s="600"/>
      <c r="W96" s="601"/>
      <c r="X96" s="274"/>
      <c r="Y96" s="249"/>
    </row>
    <row r="97" spans="1:25" s="41" customFormat="1">
      <c r="A97" s="147"/>
      <c r="B97" s="147"/>
      <c r="P97" s="108"/>
      <c r="Q97" s="107"/>
      <c r="R97" s="107"/>
      <c r="S97" s="107"/>
      <c r="T97" s="107"/>
      <c r="U97" s="107"/>
      <c r="V97" s="600"/>
      <c r="W97" s="601"/>
      <c r="X97" s="274"/>
      <c r="Y97" s="249"/>
    </row>
    <row r="98" spans="1:25" s="41" customFormat="1">
      <c r="A98" s="147"/>
      <c r="B98" s="147"/>
      <c r="P98" s="108"/>
      <c r="Q98" s="107"/>
      <c r="R98" s="107"/>
      <c r="S98" s="107"/>
      <c r="T98" s="107"/>
      <c r="U98" s="107"/>
      <c r="V98" s="600"/>
      <c r="W98" s="601"/>
      <c r="X98" s="274"/>
      <c r="Y98" s="249"/>
    </row>
    <row r="99" spans="1:25" s="41" customFormat="1">
      <c r="A99" s="147"/>
      <c r="B99" s="147"/>
      <c r="P99" s="108"/>
      <c r="Q99" s="107"/>
      <c r="R99" s="107"/>
      <c r="S99" s="107"/>
      <c r="T99" s="107"/>
      <c r="U99" s="107"/>
      <c r="V99" s="600"/>
      <c r="W99" s="601"/>
      <c r="X99" s="274"/>
      <c r="Y99" s="249"/>
    </row>
    <row r="100" spans="1:25" s="41" customFormat="1">
      <c r="A100" s="147"/>
      <c r="B100" s="147"/>
      <c r="P100" s="108"/>
      <c r="Q100" s="107"/>
      <c r="R100" s="107"/>
      <c r="S100" s="107"/>
      <c r="T100" s="107"/>
      <c r="U100" s="107"/>
      <c r="V100" s="600"/>
      <c r="W100" s="601"/>
      <c r="X100" s="274"/>
      <c r="Y100" s="249"/>
    </row>
    <row r="101" spans="1:25" s="41" customFormat="1">
      <c r="A101" s="147"/>
      <c r="B101" s="147"/>
      <c r="P101" s="108"/>
      <c r="Q101" s="107"/>
      <c r="R101" s="107"/>
      <c r="S101" s="107"/>
      <c r="T101" s="107"/>
      <c r="U101" s="107"/>
      <c r="V101" s="600"/>
      <c r="W101" s="601"/>
      <c r="X101" s="274"/>
      <c r="Y101" s="249"/>
    </row>
    <row r="102" spans="1:25" s="41" customFormat="1">
      <c r="A102" s="147"/>
      <c r="B102" s="147"/>
      <c r="P102" s="108"/>
      <c r="Q102" s="107"/>
      <c r="R102" s="107"/>
      <c r="S102" s="107"/>
      <c r="T102" s="107"/>
      <c r="U102" s="107"/>
      <c r="V102" s="600"/>
      <c r="W102" s="601"/>
      <c r="X102" s="274"/>
      <c r="Y102" s="249"/>
    </row>
    <row r="103" spans="1:25" s="41" customFormat="1">
      <c r="A103" s="147"/>
      <c r="B103" s="147"/>
      <c r="P103" s="108"/>
      <c r="Q103" s="107"/>
      <c r="R103" s="107"/>
      <c r="S103" s="107"/>
      <c r="T103" s="107"/>
      <c r="U103" s="107"/>
      <c r="V103" s="600"/>
      <c r="W103" s="601"/>
      <c r="X103" s="274"/>
      <c r="Y103" s="249"/>
    </row>
    <row r="104" spans="1:25" s="41" customFormat="1">
      <c r="A104" s="147"/>
      <c r="B104" s="147"/>
      <c r="P104" s="108"/>
      <c r="Q104" s="107"/>
      <c r="R104" s="107"/>
      <c r="S104" s="107"/>
      <c r="T104" s="107"/>
      <c r="U104" s="107"/>
      <c r="V104" s="600"/>
      <c r="W104" s="601"/>
      <c r="X104" s="274"/>
      <c r="Y104" s="249"/>
    </row>
    <row r="105" spans="1:25" s="41" customFormat="1">
      <c r="A105" s="147"/>
      <c r="B105" s="147"/>
      <c r="P105" s="108"/>
      <c r="Q105" s="107"/>
      <c r="R105" s="107"/>
      <c r="S105" s="107"/>
      <c r="T105" s="107"/>
      <c r="U105" s="107"/>
      <c r="V105" s="600"/>
      <c r="W105" s="601"/>
      <c r="X105" s="274"/>
      <c r="Y105" s="249"/>
    </row>
    <row r="106" spans="1:25" ht="17.25" customHeight="1"/>
  </sheetData>
  <sheetProtection algorithmName="SHA-512" hashValue="np2ig5yG6LMkF4bOXqDt8lcVAgGg51NSir26NnAEjR7H67VpmrazD9ze7WFwDXPu19HXs0BDyVOIuGkZEJg3Qg==" saltValue="5ecP8BZ+ls2X7XTx8XzDEA==" spinCount="100000" sheet="1" objects="1" scenarios="1"/>
  <mergeCells count="52">
    <mergeCell ref="O84:O88"/>
    <mergeCell ref="O54:O59"/>
    <mergeCell ref="O60:O65"/>
    <mergeCell ref="O66:O71"/>
    <mergeCell ref="O72:O77"/>
    <mergeCell ref="O78:O83"/>
    <mergeCell ref="H22:H23"/>
    <mergeCell ref="O42:O47"/>
    <mergeCell ref="O48:O53"/>
    <mergeCell ref="D22:D23"/>
    <mergeCell ref="E22:E23"/>
    <mergeCell ref="F22:F23"/>
    <mergeCell ref="G22:G23"/>
    <mergeCell ref="O32:O34"/>
    <mergeCell ref="O35:O36"/>
    <mergeCell ref="O37:O41"/>
    <mergeCell ref="O24:O31"/>
    <mergeCell ref="O22:O23"/>
    <mergeCell ref="K22:K23"/>
    <mergeCell ref="L22:L23"/>
    <mergeCell ref="N22:N23"/>
    <mergeCell ref="C14:C15"/>
    <mergeCell ref="D14:D15"/>
    <mergeCell ref="E14:E15"/>
    <mergeCell ref="H14:H15"/>
    <mergeCell ref="F14:F15"/>
    <mergeCell ref="G14:G15"/>
    <mergeCell ref="K7:N7"/>
    <mergeCell ref="K9:M9"/>
    <mergeCell ref="K8:M8"/>
    <mergeCell ref="N14:N15"/>
    <mergeCell ref="O8:O9"/>
    <mergeCell ref="K14:K15"/>
    <mergeCell ref="L14:L15"/>
    <mergeCell ref="K10:M10"/>
    <mergeCell ref="O14:O15"/>
    <mergeCell ref="B3:O3"/>
    <mergeCell ref="C22:C23"/>
    <mergeCell ref="B22:B23"/>
    <mergeCell ref="D12:E12"/>
    <mergeCell ref="D8:E8"/>
    <mergeCell ref="D9:E9"/>
    <mergeCell ref="D10:E10"/>
    <mergeCell ref="F12:G12"/>
    <mergeCell ref="D11:E11"/>
    <mergeCell ref="F8:G8"/>
    <mergeCell ref="F9:G9"/>
    <mergeCell ref="F10:G10"/>
    <mergeCell ref="F11:G11"/>
    <mergeCell ref="K11:M11"/>
    <mergeCell ref="K12:M12"/>
    <mergeCell ref="D7:G7"/>
  </mergeCells>
  <phoneticPr fontId="3" type="noConversion"/>
  <conditionalFormatting sqref="C16:C20">
    <cfRule type="cellIs" dxfId="40" priority="156" operator="lessThan">
      <formula>6</formula>
    </cfRule>
    <cfRule type="cellIs" dxfId="39" priority="157" operator="lessThan">
      <formula>11</formula>
    </cfRule>
    <cfRule type="cellIs" dxfId="38" priority="158" operator="lessThan">
      <formula>21</formula>
    </cfRule>
  </conditionalFormatting>
  <conditionalFormatting sqref="B24:B88">
    <cfRule type="cellIs" dxfId="37" priority="36" operator="lessThan">
      <formula>6</formula>
    </cfRule>
    <cfRule type="cellIs" dxfId="36" priority="159" operator="lessThan">
      <formula>11</formula>
    </cfRule>
    <cfRule type="cellIs" dxfId="35" priority="160" operator="lessThan">
      <formula>21</formula>
    </cfRule>
  </conditionalFormatting>
  <conditionalFormatting sqref="D24:N88">
    <cfRule type="expression" dxfId="34" priority="3">
      <formula>MOD(ROW(),2)=0</formula>
    </cfRule>
  </conditionalFormatting>
  <conditionalFormatting sqref="D24:D88">
    <cfRule type="expression" dxfId="33" priority="192">
      <formula>$C24="O"</formula>
    </cfRule>
  </conditionalFormatting>
  <dataValidations xWindow="886" yWindow="393" count="4">
    <dataValidation type="list" allowBlank="1" showInputMessage="1" showErrorMessage="1" sqref="N8 N10:N12">
      <formula1>"O,X"</formula1>
    </dataValidation>
    <dataValidation type="decimal" allowBlank="1" showInputMessage="1" showErrorMessage="1" sqref="F9:G9">
      <formula1>0</formula1>
      <formula2>100</formula2>
    </dataValidation>
    <dataValidation type="decimal" operator="greaterThanOrEqual" allowBlank="1" showInputMessage="1" showErrorMessage="1" sqref="F10:G11 F8:G8">
      <formula1>0</formula1>
    </dataValidation>
    <dataValidation type="list" allowBlank="1" showErrorMessage="1" sqref="C24:C88">
      <formula1>"O,X"</formula1>
    </dataValidation>
  </dataValidations>
  <pageMargins left="0.7" right="0.7" top="0.75" bottom="0.75" header="0.3" footer="0.3"/>
  <pageSetup paperSize="9" orientation="portrait" horizontalDpi="4294967292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X93"/>
  <sheetViews>
    <sheetView workbookViewId="0">
      <selection activeCell="J23" sqref="J23"/>
    </sheetView>
  </sheetViews>
  <sheetFormatPr defaultRowHeight="16.5"/>
  <cols>
    <col min="1" max="1" width="2.5" style="106" customWidth="1"/>
    <col min="2" max="2" width="4.75" style="106" customWidth="1"/>
    <col min="3" max="3" width="5.25" style="42" customWidth="1"/>
    <col min="4" max="4" width="21.375" style="42" customWidth="1"/>
    <col min="5" max="5" width="8.25" style="42" customWidth="1"/>
    <col min="6" max="6" width="11.5" style="42" customWidth="1"/>
    <col min="7" max="7" width="7.625" style="42" customWidth="1"/>
    <col min="8" max="8" width="9" style="42" customWidth="1"/>
    <col min="9" max="9" width="9.375" style="42" customWidth="1"/>
    <col min="10" max="10" width="9" style="42"/>
    <col min="11" max="11" width="11.125" style="42" customWidth="1"/>
    <col min="12" max="12" width="10.5" style="42" customWidth="1"/>
    <col min="13" max="13" width="12.875" style="42" customWidth="1"/>
    <col min="14" max="14" width="15.375" style="42" customWidth="1"/>
    <col min="15" max="15" width="11.75" style="42" customWidth="1"/>
    <col min="16" max="16" width="5.5" style="108" customWidth="1"/>
    <col min="17" max="17" width="4.25" style="107" customWidth="1"/>
    <col min="18" max="18" width="4" style="107" customWidth="1"/>
    <col min="19" max="19" width="5.375" style="107" customWidth="1"/>
    <col min="20" max="20" width="7.375" style="107" customWidth="1"/>
    <col min="21" max="21" width="4.875" style="107" customWidth="1"/>
    <col min="22" max="22" width="6.75" style="106" customWidth="1"/>
    <col min="23" max="23" width="6.25" style="470" customWidth="1"/>
    <col min="24" max="24" width="9" style="413"/>
    <col min="25" max="16384" width="9" style="42"/>
  </cols>
  <sheetData>
    <row r="1" spans="2:21" ht="6" customHeight="1"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2:21" ht="2.25" customHeight="1" thickBot="1"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2:21" ht="30.75" customHeight="1" thickBot="1">
      <c r="B3" s="683" t="s">
        <v>250</v>
      </c>
      <c r="C3" s="684"/>
      <c r="D3" s="684"/>
      <c r="E3" s="684"/>
      <c r="F3" s="684"/>
      <c r="G3" s="684"/>
      <c r="H3" s="684"/>
      <c r="I3" s="684"/>
      <c r="J3" s="684"/>
      <c r="K3" s="684"/>
      <c r="L3" s="684"/>
      <c r="M3" s="684"/>
      <c r="N3" s="684"/>
      <c r="O3" s="685"/>
    </row>
    <row r="4" spans="2:21" ht="17.100000000000001" customHeight="1">
      <c r="C4" s="113"/>
      <c r="D4" s="114" t="s">
        <v>20</v>
      </c>
      <c r="E4" s="41"/>
      <c r="F4" s="41"/>
      <c r="G4" s="41"/>
      <c r="H4" s="41"/>
      <c r="I4" s="48"/>
      <c r="J4" s="41"/>
      <c r="K4" s="48"/>
      <c r="L4" s="48"/>
      <c r="M4" s="68"/>
      <c r="N4" s="69"/>
      <c r="O4" s="69"/>
      <c r="P4" s="47" t="s">
        <v>211</v>
      </c>
      <c r="Q4" s="219" t="s">
        <v>214</v>
      </c>
    </row>
    <row r="5" spans="2:21" ht="17.100000000000001" customHeight="1">
      <c r="C5" s="113"/>
      <c r="D5" s="115" t="s">
        <v>23</v>
      </c>
      <c r="E5" s="41"/>
      <c r="F5" s="41"/>
      <c r="G5" s="41"/>
      <c r="H5" s="41"/>
      <c r="I5" s="48"/>
      <c r="J5" s="41"/>
      <c r="K5" s="116"/>
      <c r="L5" s="48"/>
      <c r="M5" s="70"/>
      <c r="N5" s="69"/>
      <c r="O5" s="69"/>
      <c r="P5" s="259">
        <v>0</v>
      </c>
      <c r="Q5" s="219">
        <v>0</v>
      </c>
    </row>
    <row r="6" spans="2:21" ht="24" customHeight="1" thickBot="1">
      <c r="C6" s="113"/>
      <c r="D6" s="117" t="s">
        <v>24</v>
      </c>
      <c r="E6" s="48"/>
      <c r="F6" s="48"/>
      <c r="G6" s="48"/>
      <c r="H6" s="41"/>
      <c r="I6" s="48"/>
      <c r="K6" s="48"/>
      <c r="L6" s="48"/>
      <c r="M6" s="68"/>
      <c r="N6" s="69"/>
      <c r="O6" s="69"/>
      <c r="P6" s="259">
        <v>100</v>
      </c>
      <c r="Q6" s="219">
        <v>1500</v>
      </c>
    </row>
    <row r="7" spans="2:21" ht="24" customHeight="1" thickBot="1">
      <c r="C7" s="113"/>
      <c r="D7" s="697" t="s">
        <v>25</v>
      </c>
      <c r="E7" s="698"/>
      <c r="F7" s="698"/>
      <c r="G7" s="699"/>
      <c r="H7" s="41"/>
      <c r="I7" s="48"/>
      <c r="J7" s="41"/>
      <c r="K7" s="700" t="s">
        <v>26</v>
      </c>
      <c r="L7" s="701"/>
      <c r="M7" s="701"/>
      <c r="N7" s="702"/>
      <c r="O7" s="69"/>
      <c r="P7" s="259">
        <v>200</v>
      </c>
      <c r="Q7" s="219">
        <v>3000</v>
      </c>
    </row>
    <row r="8" spans="2:21" ht="18" customHeight="1">
      <c r="C8" s="41"/>
      <c r="D8" s="689" t="s">
        <v>0</v>
      </c>
      <c r="E8" s="690"/>
      <c r="F8" s="627">
        <v>301</v>
      </c>
      <c r="G8" s="628"/>
      <c r="H8" s="90" t="str">
        <f>IF(OR(F8="",F9=""),"","망내 "&amp;ROUND(F8*F9/100,0)&amp;"분")</f>
        <v>망내 63분</v>
      </c>
      <c r="I8" s="146">
        <f>IF(OR(F8="",F9=""),"",F8*F9/100)</f>
        <v>63.21</v>
      </c>
      <c r="J8" s="41"/>
      <c r="K8" s="629" t="s">
        <v>86</v>
      </c>
      <c r="L8" s="630"/>
      <c r="M8" s="630"/>
      <c r="N8" s="49" t="s">
        <v>16</v>
      </c>
      <c r="O8" s="71"/>
      <c r="P8" s="259">
        <v>500</v>
      </c>
      <c r="Q8" s="219">
        <v>6000</v>
      </c>
    </row>
    <row r="9" spans="2:21" ht="18" customHeight="1">
      <c r="C9" s="41"/>
      <c r="D9" s="691" t="s">
        <v>98</v>
      </c>
      <c r="E9" s="692"/>
      <c r="F9" s="633">
        <v>21</v>
      </c>
      <c r="G9" s="634"/>
      <c r="H9" s="90" t="str">
        <f>IF(OR(F8="",F9=""),"","망외 "&amp;ROUND(F8*(1-F9/100),0)&amp;"분")</f>
        <v>망외 238분</v>
      </c>
      <c r="I9" s="146">
        <f>IF(OR(F8="",F9=""),"",F8*(100-F9)/100)</f>
        <v>237.79</v>
      </c>
      <c r="J9" s="41"/>
      <c r="K9" s="635" t="s">
        <v>48</v>
      </c>
      <c r="L9" s="636"/>
      <c r="M9" s="636"/>
      <c r="N9" s="67" t="s">
        <v>49</v>
      </c>
      <c r="O9" s="71"/>
      <c r="P9" s="259">
        <v>700</v>
      </c>
      <c r="Q9" s="219">
        <v>8000</v>
      </c>
    </row>
    <row r="10" spans="2:21" ht="18" customHeight="1" thickBot="1">
      <c r="C10" s="41"/>
      <c r="D10" s="693" t="s">
        <v>1</v>
      </c>
      <c r="E10" s="694"/>
      <c r="F10" s="633">
        <v>201</v>
      </c>
      <c r="G10" s="634"/>
      <c r="H10" s="41"/>
      <c r="I10" s="41"/>
      <c r="J10" s="41"/>
      <c r="K10" s="711" t="s">
        <v>17</v>
      </c>
      <c r="L10" s="712"/>
      <c r="M10" s="712"/>
      <c r="N10" s="50" t="s">
        <v>243</v>
      </c>
      <c r="O10" s="73"/>
      <c r="P10" s="259">
        <v>1000</v>
      </c>
      <c r="Q10" s="260">
        <v>10000</v>
      </c>
    </row>
    <row r="11" spans="2:21" ht="18" customHeight="1">
      <c r="C11" s="41"/>
      <c r="D11" s="693" t="s">
        <v>2</v>
      </c>
      <c r="E11" s="694"/>
      <c r="F11" s="633">
        <v>3000</v>
      </c>
      <c r="G11" s="634"/>
      <c r="H11" s="41"/>
      <c r="I11" s="41"/>
      <c r="J11" s="41"/>
      <c r="K11" s="643" t="str">
        <f>"데이터이용량 "&amp;F11&amp;"MB 이상만 나열하기"</f>
        <v>데이터이용량 3000MB 이상만 나열하기</v>
      </c>
      <c r="L11" s="644"/>
      <c r="M11" s="644"/>
      <c r="N11" s="51" t="s">
        <v>16</v>
      </c>
      <c r="O11" s="72"/>
    </row>
    <row r="12" spans="2:21" ht="18" customHeight="1" thickBot="1">
      <c r="C12" s="41"/>
      <c r="D12" s="645" t="s">
        <v>107</v>
      </c>
      <c r="E12" s="646"/>
      <c r="F12" s="647">
        <v>0</v>
      </c>
      <c r="G12" s="648"/>
      <c r="H12" s="258">
        <f>VLOOKUP(F12,P5:Q10,2)</f>
        <v>0</v>
      </c>
      <c r="I12" s="41"/>
      <c r="J12" s="41"/>
      <c r="K12" s="649" t="s">
        <v>122</v>
      </c>
      <c r="L12" s="650"/>
      <c r="M12" s="650"/>
      <c r="N12" s="180" t="s">
        <v>16</v>
      </c>
      <c r="O12" s="68"/>
      <c r="P12" s="108">
        <f>IF(N12="O",1,0)</f>
        <v>0</v>
      </c>
    </row>
    <row r="13" spans="2:21" ht="17.25" customHeight="1" thickBot="1">
      <c r="C13" s="41"/>
      <c r="D13" s="40" t="s">
        <v>22</v>
      </c>
      <c r="E13" s="41"/>
      <c r="F13" s="41"/>
      <c r="G13" s="118"/>
      <c r="I13" s="41"/>
      <c r="J13" s="41"/>
      <c r="K13" s="41"/>
      <c r="L13" s="41"/>
      <c r="M13" s="68"/>
      <c r="N13" s="68"/>
      <c r="O13" s="68"/>
      <c r="P13" s="108">
        <f>IF(N11="O",2,0)</f>
        <v>0</v>
      </c>
      <c r="Q13" s="107">
        <f>P12+P13</f>
        <v>0</v>
      </c>
    </row>
    <row r="14" spans="2:21" ht="16.5" customHeight="1">
      <c r="C14" s="715" t="s">
        <v>19</v>
      </c>
      <c r="D14" s="751" t="s">
        <v>3</v>
      </c>
      <c r="E14" s="749" t="s">
        <v>4</v>
      </c>
      <c r="F14" s="749" t="s">
        <v>21</v>
      </c>
      <c r="G14" s="749" t="s">
        <v>5</v>
      </c>
      <c r="H14" s="749" t="s">
        <v>6</v>
      </c>
      <c r="I14" s="468" t="s">
        <v>7</v>
      </c>
      <c r="J14" s="166" t="s">
        <v>8</v>
      </c>
      <c r="K14" s="760" t="s">
        <v>13</v>
      </c>
      <c r="L14" s="762" t="s">
        <v>14</v>
      </c>
      <c r="M14" s="518" t="str">
        <f>M22</f>
        <v>실제요금</v>
      </c>
      <c r="N14" s="764" t="s">
        <v>9</v>
      </c>
      <c r="O14" s="766" t="s">
        <v>10</v>
      </c>
      <c r="P14" s="261"/>
      <c r="Q14" s="47"/>
      <c r="R14" s="47"/>
      <c r="S14" s="47"/>
      <c r="T14" s="47"/>
      <c r="U14" s="47"/>
    </row>
    <row r="15" spans="2:21" ht="17.25" thickBot="1">
      <c r="C15" s="716"/>
      <c r="D15" s="752"/>
      <c r="E15" s="750"/>
      <c r="F15" s="750"/>
      <c r="G15" s="753"/>
      <c r="H15" s="750"/>
      <c r="I15" s="167" t="str">
        <f>I23</f>
        <v>(24개월)</v>
      </c>
      <c r="J15" s="168" t="s">
        <v>11</v>
      </c>
      <c r="K15" s="761"/>
      <c r="L15" s="763"/>
      <c r="M15" s="519" t="str">
        <f>M23</f>
        <v>(부가세,복지포함)</v>
      </c>
      <c r="N15" s="765"/>
      <c r="O15" s="767"/>
      <c r="P15" s="261"/>
      <c r="Q15" s="47"/>
      <c r="R15" s="47"/>
      <c r="S15" s="47"/>
      <c r="T15" s="47"/>
      <c r="U15" s="47"/>
    </row>
    <row r="16" spans="2:21">
      <c r="C16" s="44">
        <f>IF(COUNT($U$24:$U$74)&gt;=1,VLOOKUP(SMALL($U$24:$U$74,1),$U$24:$U$74,1,FALSE),"")</f>
        <v>1</v>
      </c>
      <c r="D16" s="24" t="str">
        <f>IF($C$16="","",VLOOKUP($C$16,$B$24:$N$74,COLUMN()-1,FALSE))</f>
        <v>LTE 선택형 통화 300분</v>
      </c>
      <c r="E16" s="9">
        <f t="shared" ref="E16:N16" si="0">IF($C$16="","",VLOOKUP($C$16,$B$24:$N$74,COLUMN()-1,FALSE))</f>
        <v>44500</v>
      </c>
      <c r="F16" s="141">
        <f t="shared" si="0"/>
        <v>300</v>
      </c>
      <c r="G16" s="34" t="str">
        <f t="shared" si="0"/>
        <v>50(무료)</v>
      </c>
      <c r="H16" s="9">
        <f t="shared" si="0"/>
        <v>250</v>
      </c>
      <c r="I16" s="9">
        <f t="shared" si="0"/>
        <v>10500</v>
      </c>
      <c r="J16" s="17">
        <f t="shared" si="0"/>
        <v>24310</v>
      </c>
      <c r="K16" s="74">
        <f t="shared" si="0"/>
        <v>70.2</v>
      </c>
      <c r="L16" s="75">
        <f t="shared" si="0"/>
        <v>1963</v>
      </c>
      <c r="M16" s="10">
        <f t="shared" si="0"/>
        <v>26546.52</v>
      </c>
      <c r="N16" s="11" t="str">
        <f t="shared" si="0"/>
        <v>데이터(2.75GB) 부족</v>
      </c>
      <c r="O16" s="119"/>
      <c r="P16" s="261"/>
      <c r="Q16" s="47"/>
      <c r="R16" s="47"/>
      <c r="S16" s="47"/>
      <c r="T16" s="47"/>
      <c r="U16" s="47"/>
    </row>
    <row r="17" spans="1:23">
      <c r="C17" s="45">
        <f>IF(COUNT($U$24:$U$74)&gt;=2,VLOOKUP(SMALL($U$24:$U$74,2),$U$24:$U$74,1,FALSE),"")</f>
        <v>2</v>
      </c>
      <c r="D17" s="60" t="str">
        <f>IF($C$17="","",VLOOKUP($C$17,$B$24:$N$74,COLUMN()-1,FALSE))</f>
        <v>Single LTE 망내 34</v>
      </c>
      <c r="E17" s="61">
        <f t="shared" ref="E17:N17" si="1">IF($C$17="","",VLOOKUP($C$17,$B$24:$N$74,COLUMN()-1,FALSE))</f>
        <v>34000</v>
      </c>
      <c r="F17" s="142">
        <f t="shared" si="1"/>
        <v>115</v>
      </c>
      <c r="G17" s="62" t="str">
        <f t="shared" si="1"/>
        <v>무제한</v>
      </c>
      <c r="H17" s="61">
        <f t="shared" si="1"/>
        <v>750</v>
      </c>
      <c r="I17" s="61">
        <f t="shared" si="1"/>
        <v>7000</v>
      </c>
      <c r="J17" s="63">
        <f t="shared" si="1"/>
        <v>19305.000000000004</v>
      </c>
      <c r="K17" s="76">
        <f t="shared" si="1"/>
        <v>8140.9769999999999</v>
      </c>
      <c r="L17" s="77">
        <f t="shared" si="1"/>
        <v>0</v>
      </c>
      <c r="M17" s="64">
        <f t="shared" si="1"/>
        <v>28260.074700000005</v>
      </c>
      <c r="N17" s="65" t="str">
        <f t="shared" si="1"/>
        <v>데이터(2.25GB) 부족</v>
      </c>
      <c r="O17" s="66">
        <f>IF(OR(M16="",M17=""),"",M17-M16)</f>
        <v>1713.5547000000042</v>
      </c>
      <c r="P17" s="261"/>
      <c r="Q17" s="47"/>
      <c r="R17" s="47"/>
      <c r="S17" s="47"/>
      <c r="T17" s="47"/>
      <c r="U17" s="47"/>
    </row>
    <row r="18" spans="1:23">
      <c r="C18" s="45">
        <f>IF(COUNT($U$24:$U$74)&gt;=3,VLOOKUP(SMALL($U$24:$U$74,3),$U$24:$U$74,1,FALSE),"")</f>
        <v>3</v>
      </c>
      <c r="D18" s="25" t="str">
        <f>IF($C$18="","",VLOOKUP($C$18,$B$24:$N$74,COLUMN()-1,FALSE))</f>
        <v>LTE 선택형 통화 300분</v>
      </c>
      <c r="E18" s="1">
        <f t="shared" ref="E18:N18" si="2">IF($C$18="","",VLOOKUP($C$18,$B$24:$N$74,COLUMN()-1,FALSE))</f>
        <v>47000</v>
      </c>
      <c r="F18" s="143">
        <f t="shared" si="2"/>
        <v>300</v>
      </c>
      <c r="G18" s="35" t="str">
        <f t="shared" si="2"/>
        <v>50(무료)</v>
      </c>
      <c r="H18" s="1">
        <f t="shared" si="2"/>
        <v>500</v>
      </c>
      <c r="I18" s="1">
        <f t="shared" si="2"/>
        <v>10500</v>
      </c>
      <c r="J18" s="18">
        <f t="shared" si="2"/>
        <v>26097.5</v>
      </c>
      <c r="K18" s="78">
        <f t="shared" si="2"/>
        <v>70.2</v>
      </c>
      <c r="L18" s="79">
        <f t="shared" si="2"/>
        <v>1963</v>
      </c>
      <c r="M18" s="12">
        <f t="shared" si="2"/>
        <v>28334.02</v>
      </c>
      <c r="N18" s="13" t="str">
        <f t="shared" si="2"/>
        <v>데이터(2.5GB) 부족</v>
      </c>
      <c r="O18" s="2">
        <f t="shared" ref="O18:O20" si="3">IF(OR(M17="",M18=""),"",M18-M17)</f>
        <v>73.945299999995768</v>
      </c>
      <c r="P18" s="261"/>
      <c r="Q18" s="47"/>
      <c r="R18" s="47"/>
      <c r="S18" s="47"/>
      <c r="T18" s="47"/>
      <c r="U18" s="47"/>
    </row>
    <row r="19" spans="1:23">
      <c r="C19" s="45">
        <f>IF(COUNT($U$24:$U$74)&gt;=4,VLOOKUP(SMALL($U$24:$U$74,4),$U$24:$U$74,1,FALSE),"")</f>
        <v>4</v>
      </c>
      <c r="D19" s="60" t="str">
        <f>IF($C$19="","",VLOOKUP($C$19,$B$24:$N$74,COLUMN()-1,FALSE))</f>
        <v>Single LTE 망내 42</v>
      </c>
      <c r="E19" s="61">
        <f t="shared" ref="E19:N19" si="4">IF($C$19="","",VLOOKUP($C$19,$B$24:$N$74,COLUMN()-1,FALSE))</f>
        <v>42000</v>
      </c>
      <c r="F19" s="142">
        <f t="shared" si="4"/>
        <v>148</v>
      </c>
      <c r="G19" s="62" t="str">
        <f t="shared" si="4"/>
        <v>무제한</v>
      </c>
      <c r="H19" s="61">
        <f t="shared" si="4"/>
        <v>1400</v>
      </c>
      <c r="I19" s="61">
        <f t="shared" si="4"/>
        <v>10500</v>
      </c>
      <c r="J19" s="63">
        <f t="shared" si="4"/>
        <v>22522.5</v>
      </c>
      <c r="K19" s="76">
        <f t="shared" si="4"/>
        <v>5953.0770000000002</v>
      </c>
      <c r="L19" s="77">
        <f t="shared" si="4"/>
        <v>0</v>
      </c>
      <c r="M19" s="64">
        <f t="shared" si="4"/>
        <v>29070.884700000002</v>
      </c>
      <c r="N19" s="65" t="str">
        <f t="shared" si="4"/>
        <v>데이터(1.6GB) 부족</v>
      </c>
      <c r="O19" s="66">
        <f t="shared" si="3"/>
        <v>736.8647000000019</v>
      </c>
      <c r="P19" s="261"/>
      <c r="Q19" s="47"/>
      <c r="R19" s="47"/>
      <c r="S19" s="47"/>
      <c r="T19" s="47"/>
      <c r="U19" s="47"/>
    </row>
    <row r="20" spans="1:23" ht="17.25" thickBot="1">
      <c r="C20" s="46">
        <f>IF(COUNT($U$24:$U$74)&gt;=5,VLOOKUP(SMALL($U$24:$U$74,5),$U$24:$U$74,1,FALSE),"")</f>
        <v>5</v>
      </c>
      <c r="D20" s="26" t="str">
        <f>IF($C$20="","",VLOOKUP($C$20,$B$24:$N$74,COLUMN()-1,FALSE))</f>
        <v>LTE 망내 34</v>
      </c>
      <c r="E20" s="3">
        <f t="shared" ref="E20:N20" si="5">IF($C$20="","",VLOOKUP($C$20,$B$24:$N$74,COLUMN()-1,FALSE))</f>
        <v>34000</v>
      </c>
      <c r="F20" s="144">
        <f t="shared" si="5"/>
        <v>110</v>
      </c>
      <c r="G20" s="36" t="str">
        <f t="shared" si="5"/>
        <v>무제한</v>
      </c>
      <c r="H20" s="3">
        <f t="shared" si="5"/>
        <v>750</v>
      </c>
      <c r="I20" s="3">
        <f t="shared" si="5"/>
        <v>7000</v>
      </c>
      <c r="J20" s="19">
        <f t="shared" si="5"/>
        <v>19305.000000000004</v>
      </c>
      <c r="K20" s="80">
        <f t="shared" si="5"/>
        <v>8970.8580000000002</v>
      </c>
      <c r="L20" s="81">
        <f t="shared" si="5"/>
        <v>0</v>
      </c>
      <c r="M20" s="14">
        <f t="shared" si="5"/>
        <v>29172.943800000005</v>
      </c>
      <c r="N20" s="15" t="str">
        <f t="shared" si="5"/>
        <v>데이터(2.25GB) 부족</v>
      </c>
      <c r="O20" s="4">
        <f t="shared" si="3"/>
        <v>102.05910000000222</v>
      </c>
      <c r="P20" s="261"/>
      <c r="Q20" s="47"/>
      <c r="R20" s="47"/>
      <c r="S20" s="47"/>
      <c r="T20" s="47"/>
      <c r="U20" s="47"/>
    </row>
    <row r="21" spans="1:23" ht="23.1" customHeight="1" thickBot="1">
      <c r="C21" s="41"/>
      <c r="D21" s="444" t="str">
        <f>"총 "&amp;COUNTA(D24:D74)&amp;"요금제 중 검색 제외된 요금제는 "&amp;COUNTIF(C24:C74,"O")&amp;"개입니다.  (신규가입 불가능한 요금제는 왼쪽 2번째열에서 O를 선택해주세요)"</f>
        <v>총 51요금제 중 검색 제외된 요금제는 6개입니다.  (신규가입 불가능한 요금제는 왼쪽 2번째열에서 O를 선택해주세요)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261"/>
      <c r="Q21" s="47"/>
      <c r="R21" s="47"/>
      <c r="S21" s="47"/>
      <c r="T21" s="47"/>
      <c r="U21" s="47"/>
    </row>
    <row r="22" spans="1:23" ht="16.5" customHeight="1">
      <c r="B22" s="41"/>
      <c r="C22" s="745" t="s">
        <v>245</v>
      </c>
      <c r="D22" s="754" t="s">
        <v>3</v>
      </c>
      <c r="E22" s="756" t="s">
        <v>4</v>
      </c>
      <c r="F22" s="756" t="s">
        <v>21</v>
      </c>
      <c r="G22" s="756" t="s">
        <v>5</v>
      </c>
      <c r="H22" s="756" t="s">
        <v>6</v>
      </c>
      <c r="I22" s="469" t="s">
        <v>7</v>
      </c>
      <c r="J22" s="169" t="s">
        <v>8</v>
      </c>
      <c r="K22" s="760" t="s">
        <v>13</v>
      </c>
      <c r="L22" s="762" t="s">
        <v>14</v>
      </c>
      <c r="M22" s="518" t="s">
        <v>244</v>
      </c>
      <c r="N22" s="764" t="s">
        <v>9</v>
      </c>
      <c r="O22" s="734"/>
      <c r="P22" s="261" t="s">
        <v>67</v>
      </c>
      <c r="Q22" s="47"/>
      <c r="R22" s="47"/>
      <c r="S22" s="47"/>
      <c r="T22" s="47"/>
      <c r="U22" s="47"/>
    </row>
    <row r="23" spans="1:23" ht="17.25" customHeight="1" thickBot="1">
      <c r="B23" s="120" t="s">
        <v>12</v>
      </c>
      <c r="C23" s="746"/>
      <c r="D23" s="755"/>
      <c r="E23" s="757"/>
      <c r="F23" s="757"/>
      <c r="G23" s="758"/>
      <c r="H23" s="757"/>
      <c r="I23" s="168" t="str">
        <f>IF(N8="O","약정+한방에yo","(24개월)")</f>
        <v>(24개월)</v>
      </c>
      <c r="J23" s="170" t="s">
        <v>11</v>
      </c>
      <c r="K23" s="768"/>
      <c r="L23" s="769"/>
      <c r="M23" s="517" t="str">
        <f>"(부가세"&amp;IF($N$10="O",",복지포함)","포함)")</f>
        <v>(부가세,복지포함)</v>
      </c>
      <c r="N23" s="770"/>
      <c r="O23" s="735"/>
      <c r="P23" s="149"/>
      <c r="Q23" s="150" t="s">
        <v>68</v>
      </c>
      <c r="R23" s="150" t="s">
        <v>69</v>
      </c>
      <c r="S23" s="150" t="s">
        <v>9</v>
      </c>
      <c r="T23" s="260" t="s">
        <v>70</v>
      </c>
      <c r="U23" s="262" t="s">
        <v>66</v>
      </c>
      <c r="V23" s="471" t="s">
        <v>85</v>
      </c>
      <c r="W23" s="470" t="s">
        <v>244</v>
      </c>
    </row>
    <row r="24" spans="1:23" ht="17.100000000000001" customHeight="1">
      <c r="A24" s="109">
        <v>7000</v>
      </c>
      <c r="B24" s="121">
        <f>IF(C24="O","",RANK(W24,W$24:W$74,1)+COUNTIF($W$24:W24,W24)-1)</f>
        <v>5</v>
      </c>
      <c r="C24" s="474"/>
      <c r="D24" s="155" t="s">
        <v>75</v>
      </c>
      <c r="E24" s="182">
        <v>34000</v>
      </c>
      <c r="F24" s="156">
        <v>110</v>
      </c>
      <c r="G24" s="126" t="s">
        <v>15</v>
      </c>
      <c r="H24" s="183">
        <v>750</v>
      </c>
      <c r="I24" s="20">
        <f t="shared" ref="I24:I55" si="6">IF($N$8="X",A24,A24+V24)</f>
        <v>7000</v>
      </c>
      <c r="J24" s="52">
        <f t="shared" ref="J24:J48" si="7">IF($N$10="X",(E24-I24)*1.1,(E24-I24)*1.1*0.65)</f>
        <v>19305.000000000004</v>
      </c>
      <c r="K24" s="82">
        <f>IF(F$8*(100-F$9)/100&lt;F24,0,((F$8*(100-F$9)/100)-F24)*60*1.8)*IF($N$10="O",0.65,1)</f>
        <v>8970.8580000000002</v>
      </c>
      <c r="L24" s="83">
        <v>0</v>
      </c>
      <c r="M24" s="53">
        <f>J24+(K24+L24)*1.1</f>
        <v>29172.943800000005</v>
      </c>
      <c r="N24" s="21" t="str">
        <f>IF(H24="무제한","",IF(($F$11-H24)&gt;0,"데이터("&amp;P24/1000&amp;"GB) 부족",""))</f>
        <v>데이터(2.25GB) 부족</v>
      </c>
      <c r="O24" s="670" t="s">
        <v>96</v>
      </c>
      <c r="P24" s="151">
        <f t="shared" ref="P24:P54" si="8">$F$11-H24</f>
        <v>2250</v>
      </c>
      <c r="Q24" s="152">
        <f t="shared" ref="Q24:Q55" si="9">B24</f>
        <v>5</v>
      </c>
      <c r="R24" s="47">
        <f t="shared" ref="R24:R48" si="10">B24</f>
        <v>5</v>
      </c>
      <c r="S24" s="47" t="str">
        <f t="shared" ref="S24:S55" si="11">IF($F$11&lt;=H24,B24,"")</f>
        <v/>
      </c>
      <c r="T24" s="47" t="str">
        <f>S24</f>
        <v/>
      </c>
      <c r="U24" s="47">
        <f>VLOOKUP(B24,$B$24:$T$74,$Q$13+16,FALSE)</f>
        <v>5</v>
      </c>
      <c r="V24" s="153">
        <v>5000</v>
      </c>
      <c r="W24" s="472">
        <f>IF(C24="O","",M24)</f>
        <v>29172.943800000005</v>
      </c>
    </row>
    <row r="25" spans="1:23" ht="17.100000000000001" customHeight="1">
      <c r="A25" s="109">
        <v>10500</v>
      </c>
      <c r="B25" s="121">
        <f>IF(C25="O","",RANK(W25,W$24:W$74,1)+COUNTIF($W$24:W25,W25)-1)</f>
        <v>7</v>
      </c>
      <c r="C25" s="475"/>
      <c r="D25" s="427" t="s">
        <v>76</v>
      </c>
      <c r="E25" s="428">
        <v>42000</v>
      </c>
      <c r="F25" s="429">
        <v>140</v>
      </c>
      <c r="G25" s="127" t="s">
        <v>15</v>
      </c>
      <c r="H25" s="185">
        <v>1400</v>
      </c>
      <c r="I25" s="22">
        <f t="shared" si="6"/>
        <v>10500</v>
      </c>
      <c r="J25" s="38">
        <f t="shared" si="7"/>
        <v>22522.5</v>
      </c>
      <c r="K25" s="84">
        <f t="shared" ref="K25:K26" si="12">IF(F$8*(100-F$9)/100&lt;F25,0,((F$8*(100-F$9)/100)-F25)*60*1.8)*IF($N$10="O",0.65,1)</f>
        <v>6864.8580000000002</v>
      </c>
      <c r="L25" s="85">
        <v>0</v>
      </c>
      <c r="M25" s="39">
        <f t="shared" ref="M25:M72" si="13">J25+(K25+L25)*1.1</f>
        <v>30073.843800000002</v>
      </c>
      <c r="N25" s="23" t="str">
        <f t="shared" ref="N25:N54" si="14">IF(H25="무제한","",IF(($F$11-H25)&gt;0,"데이터("&amp;P25/1000&amp;"GB) 부족",""))</f>
        <v>데이터(1.6GB) 부족</v>
      </c>
      <c r="O25" s="671"/>
      <c r="P25" s="151">
        <f t="shared" si="8"/>
        <v>1600</v>
      </c>
      <c r="Q25" s="152">
        <f t="shared" si="9"/>
        <v>7</v>
      </c>
      <c r="R25" s="47">
        <f t="shared" si="10"/>
        <v>7</v>
      </c>
      <c r="S25" s="47" t="str">
        <f t="shared" si="11"/>
        <v/>
      </c>
      <c r="T25" s="47" t="str">
        <f t="shared" ref="T25:T48" si="15">S25</f>
        <v/>
      </c>
      <c r="U25" s="47">
        <f t="shared" ref="U25:U74" si="16">VLOOKUP(B25,$B$24:$T$74,$Q$13+16,FALSE)</f>
        <v>7</v>
      </c>
      <c r="V25" s="153">
        <v>5000</v>
      </c>
      <c r="W25" s="472">
        <f t="shared" ref="W25:W74" si="17">IF(C25="O","",M25)</f>
        <v>30073.843800000002</v>
      </c>
    </row>
    <row r="26" spans="1:23" ht="17.100000000000001" customHeight="1" thickBot="1">
      <c r="A26" s="109">
        <v>13500</v>
      </c>
      <c r="B26" s="121">
        <f>IF(C26="O","",RANK(W26,W$24:W$74,1)+COUNTIF($W$24:W26,W26)-1)</f>
        <v>13</v>
      </c>
      <c r="C26" s="476"/>
      <c r="D26" s="158" t="s">
        <v>77</v>
      </c>
      <c r="E26" s="428">
        <v>52000</v>
      </c>
      <c r="F26" s="159">
        <v>195</v>
      </c>
      <c r="G26" s="160" t="s">
        <v>15</v>
      </c>
      <c r="H26" s="246">
        <v>2100</v>
      </c>
      <c r="I26" s="161">
        <f t="shared" si="6"/>
        <v>13500</v>
      </c>
      <c r="J26" s="162">
        <f t="shared" si="7"/>
        <v>27527.5</v>
      </c>
      <c r="K26" s="88">
        <f t="shared" si="12"/>
        <v>3003.8579999999997</v>
      </c>
      <c r="L26" s="100">
        <v>0</v>
      </c>
      <c r="M26" s="163">
        <f t="shared" si="13"/>
        <v>30831.7438</v>
      </c>
      <c r="N26" s="164" t="str">
        <f t="shared" si="14"/>
        <v>데이터(0.9GB) 부족</v>
      </c>
      <c r="O26" s="671"/>
      <c r="P26" s="151">
        <f t="shared" si="8"/>
        <v>900</v>
      </c>
      <c r="Q26" s="152">
        <f t="shared" si="9"/>
        <v>13</v>
      </c>
      <c r="R26" s="47">
        <f t="shared" si="10"/>
        <v>13</v>
      </c>
      <c r="S26" s="47" t="str">
        <f t="shared" si="11"/>
        <v/>
      </c>
      <c r="T26" s="47" t="str">
        <f t="shared" si="15"/>
        <v/>
      </c>
      <c r="U26" s="47">
        <f t="shared" si="16"/>
        <v>13</v>
      </c>
      <c r="V26" s="153">
        <v>5000</v>
      </c>
      <c r="W26" s="472">
        <f t="shared" si="17"/>
        <v>30831.7438</v>
      </c>
    </row>
    <row r="27" spans="1:23" ht="17.100000000000001" customHeight="1">
      <c r="A27" s="109">
        <v>18000</v>
      </c>
      <c r="B27" s="121">
        <f>IF(C27="O","",RANK(W27,W$24:W$74,1)+COUNTIF($W$24:W27,W27)-1)</f>
        <v>26</v>
      </c>
      <c r="C27" s="474"/>
      <c r="D27" s="122" t="s">
        <v>78</v>
      </c>
      <c r="E27" s="183">
        <v>69000</v>
      </c>
      <c r="F27" s="165" t="s">
        <v>79</v>
      </c>
      <c r="G27" s="126" t="s">
        <v>15</v>
      </c>
      <c r="H27" s="183">
        <v>5000</v>
      </c>
      <c r="I27" s="20">
        <f t="shared" si="6"/>
        <v>18000</v>
      </c>
      <c r="J27" s="52">
        <f t="shared" si="7"/>
        <v>36465.000000000007</v>
      </c>
      <c r="K27" s="82">
        <f>IF(F$8*(100-F$9)/100&lt;F27,0,((F$8*(100-F$9)/100)-F27)*60*1.8)*IF($N$10="O",0.65,1)</f>
        <v>0</v>
      </c>
      <c r="L27" s="83">
        <v>0</v>
      </c>
      <c r="M27" s="53">
        <f t="shared" si="13"/>
        <v>36465.000000000007</v>
      </c>
      <c r="N27" s="21" t="str">
        <f t="shared" si="14"/>
        <v/>
      </c>
      <c r="O27" s="670" t="s">
        <v>97</v>
      </c>
      <c r="P27" s="151">
        <f t="shared" si="8"/>
        <v>-2000</v>
      </c>
      <c r="Q27" s="152">
        <f t="shared" si="9"/>
        <v>26</v>
      </c>
      <c r="R27" s="47">
        <f t="shared" si="10"/>
        <v>26</v>
      </c>
      <c r="S27" s="47">
        <f t="shared" si="11"/>
        <v>26</v>
      </c>
      <c r="T27" s="47">
        <f t="shared" si="15"/>
        <v>26</v>
      </c>
      <c r="U27" s="47">
        <f t="shared" si="16"/>
        <v>26</v>
      </c>
      <c r="V27" s="153">
        <v>8000</v>
      </c>
      <c r="W27" s="472">
        <f t="shared" si="17"/>
        <v>36465.000000000007</v>
      </c>
    </row>
    <row r="28" spans="1:23" ht="17.100000000000001" customHeight="1">
      <c r="A28" s="109">
        <v>21000</v>
      </c>
      <c r="B28" s="121">
        <f>IF(C28="O","",RANK(W28,W$24:W$74,1)+COUNTIF($W$24:W28,W28)-1)</f>
        <v>34</v>
      </c>
      <c r="C28" s="475"/>
      <c r="D28" s="37" t="s">
        <v>80</v>
      </c>
      <c r="E28" s="185">
        <v>79000</v>
      </c>
      <c r="F28" s="430" t="s">
        <v>79</v>
      </c>
      <c r="G28" s="127" t="s">
        <v>15</v>
      </c>
      <c r="H28" s="185">
        <v>8000</v>
      </c>
      <c r="I28" s="22">
        <f t="shared" si="6"/>
        <v>21000</v>
      </c>
      <c r="J28" s="38">
        <f t="shared" si="7"/>
        <v>41470.000000000007</v>
      </c>
      <c r="K28" s="84">
        <f t="shared" ref="K28:K31" si="18">IF(F$8*(100-F$9)/100&lt;F28,0,((F$8*(100-F$9)/100)-F28)*60*1.8)*IF($N$10="O",0.65,1)</f>
        <v>0</v>
      </c>
      <c r="L28" s="85">
        <v>0</v>
      </c>
      <c r="M28" s="39">
        <f t="shared" si="13"/>
        <v>41470.000000000007</v>
      </c>
      <c r="N28" s="23" t="str">
        <f t="shared" si="14"/>
        <v/>
      </c>
      <c r="O28" s="733"/>
      <c r="P28" s="151">
        <f t="shared" si="8"/>
        <v>-5000</v>
      </c>
      <c r="Q28" s="152">
        <f t="shared" si="9"/>
        <v>34</v>
      </c>
      <c r="R28" s="47">
        <f t="shared" si="10"/>
        <v>34</v>
      </c>
      <c r="S28" s="47">
        <f t="shared" si="11"/>
        <v>34</v>
      </c>
      <c r="T28" s="47">
        <f t="shared" si="15"/>
        <v>34</v>
      </c>
      <c r="U28" s="47">
        <f t="shared" si="16"/>
        <v>34</v>
      </c>
      <c r="V28" s="153">
        <v>8000</v>
      </c>
      <c r="W28" s="472">
        <f t="shared" si="17"/>
        <v>41470.000000000007</v>
      </c>
    </row>
    <row r="29" spans="1:23" ht="17.100000000000001" customHeight="1">
      <c r="A29" s="109">
        <v>23000</v>
      </c>
      <c r="B29" s="121">
        <f>IF(C29="O","",RANK(W29,W$24:W$74,1)+COUNTIF($W$24:W29,W29)-1)</f>
        <v>40</v>
      </c>
      <c r="C29" s="475"/>
      <c r="D29" s="37" t="s">
        <v>81</v>
      </c>
      <c r="E29" s="185">
        <v>89000</v>
      </c>
      <c r="F29" s="430" t="s">
        <v>82</v>
      </c>
      <c r="G29" s="127" t="s">
        <v>15</v>
      </c>
      <c r="H29" s="185">
        <v>12000</v>
      </c>
      <c r="I29" s="22">
        <f t="shared" si="6"/>
        <v>23000</v>
      </c>
      <c r="J29" s="38">
        <f t="shared" si="7"/>
        <v>47190</v>
      </c>
      <c r="K29" s="84">
        <f t="shared" si="18"/>
        <v>0</v>
      </c>
      <c r="L29" s="85">
        <v>0</v>
      </c>
      <c r="M29" s="39">
        <f t="shared" si="13"/>
        <v>47190</v>
      </c>
      <c r="N29" s="23" t="str">
        <f t="shared" si="14"/>
        <v/>
      </c>
      <c r="O29" s="733"/>
      <c r="P29" s="151">
        <f t="shared" si="8"/>
        <v>-9000</v>
      </c>
      <c r="Q29" s="152">
        <f t="shared" si="9"/>
        <v>40</v>
      </c>
      <c r="R29" s="47">
        <f t="shared" si="10"/>
        <v>40</v>
      </c>
      <c r="S29" s="47">
        <f t="shared" si="11"/>
        <v>40</v>
      </c>
      <c r="T29" s="47">
        <f t="shared" si="15"/>
        <v>40</v>
      </c>
      <c r="U29" s="47">
        <f t="shared" si="16"/>
        <v>40</v>
      </c>
      <c r="V29" s="153">
        <v>8000</v>
      </c>
      <c r="W29" s="472">
        <f t="shared" si="17"/>
        <v>47190</v>
      </c>
    </row>
    <row r="30" spans="1:23" ht="17.100000000000001" customHeight="1">
      <c r="A30" s="109">
        <v>23000</v>
      </c>
      <c r="B30" s="121">
        <f>IF(C30="O","",RANK(W30,W$24:W$74,1)+COUNTIF($W$24:W30,W30)-1)</f>
        <v>42</v>
      </c>
      <c r="C30" s="475"/>
      <c r="D30" s="37" t="s">
        <v>83</v>
      </c>
      <c r="E30" s="185">
        <v>99000</v>
      </c>
      <c r="F30" s="430" t="s">
        <v>82</v>
      </c>
      <c r="G30" s="127" t="s">
        <v>15</v>
      </c>
      <c r="H30" s="185">
        <v>16000</v>
      </c>
      <c r="I30" s="22">
        <f t="shared" si="6"/>
        <v>23000</v>
      </c>
      <c r="J30" s="38">
        <f t="shared" si="7"/>
        <v>54340</v>
      </c>
      <c r="K30" s="84">
        <f t="shared" si="18"/>
        <v>0</v>
      </c>
      <c r="L30" s="85">
        <f t="shared" ref="L30:L31" si="19">IF($F$10&lt;$G30,0,($F$10-G30)*20)</f>
        <v>0</v>
      </c>
      <c r="M30" s="39">
        <f t="shared" si="13"/>
        <v>54340</v>
      </c>
      <c r="N30" s="23" t="str">
        <f t="shared" si="14"/>
        <v/>
      </c>
      <c r="O30" s="733"/>
      <c r="P30" s="151">
        <f t="shared" si="8"/>
        <v>-13000</v>
      </c>
      <c r="Q30" s="152">
        <f t="shared" si="9"/>
        <v>42</v>
      </c>
      <c r="R30" s="47">
        <f t="shared" si="10"/>
        <v>42</v>
      </c>
      <c r="S30" s="47">
        <f t="shared" si="11"/>
        <v>42</v>
      </c>
      <c r="T30" s="47">
        <f t="shared" si="15"/>
        <v>42</v>
      </c>
      <c r="U30" s="47">
        <f t="shared" si="16"/>
        <v>42</v>
      </c>
      <c r="V30" s="153">
        <v>8000</v>
      </c>
      <c r="W30" s="472">
        <f t="shared" si="17"/>
        <v>54340</v>
      </c>
    </row>
    <row r="31" spans="1:23" ht="17.100000000000001" customHeight="1" thickBot="1">
      <c r="A31" s="109">
        <v>25000</v>
      </c>
      <c r="B31" s="121">
        <f>IF(C31="O","",RANK(W31,W$24:W$74,1)+COUNTIF($W$24:W31,W31)-1)</f>
        <v>45</v>
      </c>
      <c r="C31" s="477"/>
      <c r="D31" s="431" t="s">
        <v>185</v>
      </c>
      <c r="E31" s="186">
        <v>124000</v>
      </c>
      <c r="F31" s="432" t="s">
        <v>82</v>
      </c>
      <c r="G31" s="130" t="s">
        <v>15</v>
      </c>
      <c r="H31" s="433" t="s">
        <v>15</v>
      </c>
      <c r="I31" s="54">
        <f t="shared" si="6"/>
        <v>25000</v>
      </c>
      <c r="J31" s="55">
        <f t="shared" si="7"/>
        <v>70785.000000000015</v>
      </c>
      <c r="K31" s="86">
        <f t="shared" si="18"/>
        <v>0</v>
      </c>
      <c r="L31" s="87">
        <f t="shared" si="19"/>
        <v>0</v>
      </c>
      <c r="M31" s="56">
        <f t="shared" si="13"/>
        <v>70785.000000000015</v>
      </c>
      <c r="N31" s="57" t="str">
        <f t="shared" si="14"/>
        <v/>
      </c>
      <c r="O31" s="759"/>
      <c r="P31" s="151">
        <v>1</v>
      </c>
      <c r="Q31" s="152">
        <f t="shared" si="9"/>
        <v>45</v>
      </c>
      <c r="R31" s="47">
        <f t="shared" si="10"/>
        <v>45</v>
      </c>
      <c r="S31" s="47">
        <f t="shared" si="11"/>
        <v>45</v>
      </c>
      <c r="T31" s="47">
        <f t="shared" si="15"/>
        <v>45</v>
      </c>
      <c r="U31" s="47">
        <f t="shared" si="16"/>
        <v>45</v>
      </c>
      <c r="V31" s="153">
        <v>8000</v>
      </c>
      <c r="W31" s="472">
        <f t="shared" si="17"/>
        <v>70785.000000000015</v>
      </c>
    </row>
    <row r="32" spans="1:23" ht="17.100000000000001" customHeight="1">
      <c r="A32" s="109">
        <v>7000</v>
      </c>
      <c r="B32" s="121">
        <f>IF(C32="O","",RANK(W32,W$24:W$74,1)+COUNTIF($W$24:W32,W32)-1)</f>
        <v>9</v>
      </c>
      <c r="C32" s="478"/>
      <c r="D32" s="122" t="s">
        <v>87</v>
      </c>
      <c r="E32" s="183">
        <v>34000</v>
      </c>
      <c r="F32" s="125">
        <v>160</v>
      </c>
      <c r="G32" s="124">
        <v>200</v>
      </c>
      <c r="H32" s="183">
        <v>750</v>
      </c>
      <c r="I32" s="20">
        <f t="shared" si="6"/>
        <v>7000</v>
      </c>
      <c r="J32" s="52">
        <f t="shared" si="7"/>
        <v>19305.000000000004</v>
      </c>
      <c r="K32" s="89">
        <f>IF(F$8&lt;F32,0,((F$8-F32)*60*1.8))*IF($N$10="O",0.65,1)</f>
        <v>9898.2000000000007</v>
      </c>
      <c r="L32" s="83">
        <f>IF($F$10&lt;$G32,0,($F$10-G32)*20)*IF($N$10="O",0.65,1)</f>
        <v>13</v>
      </c>
      <c r="M32" s="53">
        <f t="shared" si="13"/>
        <v>30207.320000000007</v>
      </c>
      <c r="N32" s="21" t="str">
        <f t="shared" si="14"/>
        <v>데이터(2.25GB) 부족</v>
      </c>
      <c r="O32" s="728" t="s">
        <v>95</v>
      </c>
      <c r="P32" s="151">
        <f t="shared" si="8"/>
        <v>2250</v>
      </c>
      <c r="Q32" s="152">
        <f t="shared" si="9"/>
        <v>9</v>
      </c>
      <c r="R32" s="47">
        <f t="shared" si="10"/>
        <v>9</v>
      </c>
      <c r="S32" s="47" t="str">
        <f t="shared" si="11"/>
        <v/>
      </c>
      <c r="T32" s="47" t="str">
        <f t="shared" si="15"/>
        <v/>
      </c>
      <c r="U32" s="47">
        <f t="shared" si="16"/>
        <v>9</v>
      </c>
      <c r="V32" s="153">
        <v>5000</v>
      </c>
      <c r="W32" s="472">
        <f t="shared" si="17"/>
        <v>30207.320000000007</v>
      </c>
    </row>
    <row r="33" spans="1:23" ht="17.100000000000001" customHeight="1">
      <c r="A33" s="109">
        <v>10500</v>
      </c>
      <c r="B33" s="121">
        <f>IF(C33="O","",RANK(W33,W$24:W$74,1)+COUNTIF($W$24:W33,W33)-1)</f>
        <v>10</v>
      </c>
      <c r="C33" s="475"/>
      <c r="D33" s="37" t="s">
        <v>88</v>
      </c>
      <c r="E33" s="185">
        <v>42000</v>
      </c>
      <c r="F33" s="129">
        <v>200</v>
      </c>
      <c r="G33" s="128">
        <v>200</v>
      </c>
      <c r="H33" s="185">
        <v>1500</v>
      </c>
      <c r="I33" s="22">
        <f t="shared" si="6"/>
        <v>10500</v>
      </c>
      <c r="J33" s="38">
        <f t="shared" si="7"/>
        <v>22522.5</v>
      </c>
      <c r="K33" s="84">
        <f t="shared" ref="K33:K39" si="20">IF(F$8&lt;F33,0,((F$8-F33)*60*1.8))*IF($N$10="O",0.65,1)</f>
        <v>7090.2</v>
      </c>
      <c r="L33" s="85">
        <f t="shared" ref="L33:L39" si="21">IF($F$10&lt;$G33,0,($F$10-G33)*20)*IF($N$10="O",0.65,1)</f>
        <v>13</v>
      </c>
      <c r="M33" s="39">
        <f t="shared" si="13"/>
        <v>30336.02</v>
      </c>
      <c r="N33" s="23" t="str">
        <f t="shared" si="14"/>
        <v>데이터(1.5GB) 부족</v>
      </c>
      <c r="O33" s="729"/>
      <c r="P33" s="151">
        <f t="shared" si="8"/>
        <v>1500</v>
      </c>
      <c r="Q33" s="152">
        <f t="shared" si="9"/>
        <v>10</v>
      </c>
      <c r="R33" s="47">
        <f t="shared" si="10"/>
        <v>10</v>
      </c>
      <c r="S33" s="47" t="str">
        <f t="shared" si="11"/>
        <v/>
      </c>
      <c r="T33" s="47" t="str">
        <f t="shared" si="15"/>
        <v/>
      </c>
      <c r="U33" s="47">
        <f t="shared" si="16"/>
        <v>10</v>
      </c>
      <c r="V33" s="153">
        <v>5000</v>
      </c>
      <c r="W33" s="472">
        <f t="shared" si="17"/>
        <v>30336.02</v>
      </c>
    </row>
    <row r="34" spans="1:23" ht="17.100000000000001" customHeight="1">
      <c r="A34" s="109">
        <v>13500</v>
      </c>
      <c r="B34" s="121">
        <f>IF(C34="O","",RANK(W34,W$24:W$74,1)+COUNTIF($W$24:W34,W34)-1)</f>
        <v>17</v>
      </c>
      <c r="C34" s="475"/>
      <c r="D34" s="37" t="s">
        <v>89</v>
      </c>
      <c r="E34" s="185">
        <v>52000</v>
      </c>
      <c r="F34" s="129">
        <v>250</v>
      </c>
      <c r="G34" s="128">
        <v>250</v>
      </c>
      <c r="H34" s="185">
        <v>2500</v>
      </c>
      <c r="I34" s="22">
        <f t="shared" si="6"/>
        <v>13500</v>
      </c>
      <c r="J34" s="38">
        <f t="shared" si="7"/>
        <v>27527.5</v>
      </c>
      <c r="K34" s="84">
        <f t="shared" si="20"/>
        <v>3580.2000000000003</v>
      </c>
      <c r="L34" s="85">
        <f t="shared" si="21"/>
        <v>0</v>
      </c>
      <c r="M34" s="39">
        <f t="shared" si="13"/>
        <v>31465.72</v>
      </c>
      <c r="N34" s="23" t="str">
        <f t="shared" si="14"/>
        <v>데이터(0.5GB) 부족</v>
      </c>
      <c r="O34" s="729"/>
      <c r="P34" s="151">
        <f t="shared" si="8"/>
        <v>500</v>
      </c>
      <c r="Q34" s="152">
        <f t="shared" si="9"/>
        <v>17</v>
      </c>
      <c r="R34" s="47">
        <f t="shared" si="10"/>
        <v>17</v>
      </c>
      <c r="S34" s="47" t="str">
        <f t="shared" si="11"/>
        <v/>
      </c>
      <c r="T34" s="47" t="str">
        <f t="shared" si="15"/>
        <v/>
      </c>
      <c r="U34" s="47">
        <f t="shared" si="16"/>
        <v>17</v>
      </c>
      <c r="V34" s="153">
        <v>5000</v>
      </c>
      <c r="W34" s="472">
        <f t="shared" si="17"/>
        <v>31465.72</v>
      </c>
    </row>
    <row r="35" spans="1:23" ht="17.100000000000001" customHeight="1">
      <c r="A35" s="110">
        <v>18000</v>
      </c>
      <c r="B35" s="121">
        <f>IF(C35="O","",RANK(W35,W$24:W$74,1)+COUNTIF($W$24:W35,W35)-1)</f>
        <v>16</v>
      </c>
      <c r="C35" s="479"/>
      <c r="D35" s="434" t="s">
        <v>90</v>
      </c>
      <c r="E35" s="185">
        <v>62000</v>
      </c>
      <c r="F35" s="129">
        <v>350</v>
      </c>
      <c r="G35" s="128">
        <v>350</v>
      </c>
      <c r="H35" s="185">
        <v>6000</v>
      </c>
      <c r="I35" s="22">
        <f t="shared" si="6"/>
        <v>18000</v>
      </c>
      <c r="J35" s="38">
        <f t="shared" si="7"/>
        <v>31460.000000000007</v>
      </c>
      <c r="K35" s="84">
        <f t="shared" si="20"/>
        <v>0</v>
      </c>
      <c r="L35" s="85">
        <f t="shared" si="21"/>
        <v>0</v>
      </c>
      <c r="M35" s="39">
        <f t="shared" si="13"/>
        <v>31460.000000000007</v>
      </c>
      <c r="N35" s="23" t="str">
        <f t="shared" si="14"/>
        <v/>
      </c>
      <c r="O35" s="729"/>
      <c r="P35" s="151">
        <v>1</v>
      </c>
      <c r="Q35" s="152">
        <f t="shared" si="9"/>
        <v>16</v>
      </c>
      <c r="R35" s="47">
        <f t="shared" si="10"/>
        <v>16</v>
      </c>
      <c r="S35" s="47">
        <f t="shared" si="11"/>
        <v>16</v>
      </c>
      <c r="T35" s="47">
        <f t="shared" si="15"/>
        <v>16</v>
      </c>
      <c r="U35" s="47">
        <f t="shared" si="16"/>
        <v>16</v>
      </c>
      <c r="V35" s="154">
        <v>8000</v>
      </c>
      <c r="W35" s="472">
        <f t="shared" si="17"/>
        <v>31460.000000000007</v>
      </c>
    </row>
    <row r="36" spans="1:23" ht="17.100000000000001" customHeight="1">
      <c r="A36" s="111">
        <v>20000</v>
      </c>
      <c r="B36" s="121">
        <f>IF(C36="O","",RANK(W36,W$24:W$74,1)+COUNTIF($W$24:W36,W36)-1)</f>
        <v>28</v>
      </c>
      <c r="C36" s="480"/>
      <c r="D36" s="123" t="s">
        <v>91</v>
      </c>
      <c r="E36" s="184">
        <v>72000</v>
      </c>
      <c r="F36" s="134">
        <v>500</v>
      </c>
      <c r="G36" s="157">
        <v>450</v>
      </c>
      <c r="H36" s="184">
        <v>10000</v>
      </c>
      <c r="I36" s="91">
        <f t="shared" si="6"/>
        <v>20000</v>
      </c>
      <c r="J36" s="92">
        <f t="shared" si="7"/>
        <v>37180.000000000007</v>
      </c>
      <c r="K36" s="89">
        <f t="shared" si="20"/>
        <v>0</v>
      </c>
      <c r="L36" s="93">
        <f t="shared" si="21"/>
        <v>0</v>
      </c>
      <c r="M36" s="94">
        <f t="shared" si="13"/>
        <v>37180.000000000007</v>
      </c>
      <c r="N36" s="95" t="str">
        <f t="shared" si="14"/>
        <v/>
      </c>
      <c r="O36" s="729"/>
      <c r="P36" s="151">
        <f t="shared" si="8"/>
        <v>-7000</v>
      </c>
      <c r="Q36" s="152">
        <f t="shared" si="9"/>
        <v>28</v>
      </c>
      <c r="R36" s="47">
        <f t="shared" si="10"/>
        <v>28</v>
      </c>
      <c r="S36" s="47">
        <f t="shared" si="11"/>
        <v>28</v>
      </c>
      <c r="T36" s="47">
        <f t="shared" si="15"/>
        <v>28</v>
      </c>
      <c r="U36" s="47">
        <f t="shared" si="16"/>
        <v>28</v>
      </c>
      <c r="V36" s="153">
        <v>10000</v>
      </c>
      <c r="W36" s="472">
        <f t="shared" si="17"/>
        <v>37180.000000000007</v>
      </c>
    </row>
    <row r="37" spans="1:23" ht="17.100000000000001" customHeight="1">
      <c r="A37" s="111">
        <v>22000</v>
      </c>
      <c r="B37" s="121">
        <f>IF(C37="O","",RANK(W37,W$24:W$74,1)+COUNTIF($W$24:W37,W37)-1)</f>
        <v>38</v>
      </c>
      <c r="C37" s="480"/>
      <c r="D37" s="37" t="s">
        <v>92</v>
      </c>
      <c r="E37" s="185">
        <v>85000</v>
      </c>
      <c r="F37" s="129">
        <v>750</v>
      </c>
      <c r="G37" s="131">
        <v>650</v>
      </c>
      <c r="H37" s="185">
        <v>14000</v>
      </c>
      <c r="I37" s="22">
        <f t="shared" si="6"/>
        <v>22000</v>
      </c>
      <c r="J37" s="38">
        <f t="shared" si="7"/>
        <v>45045</v>
      </c>
      <c r="K37" s="84">
        <f t="shared" si="20"/>
        <v>0</v>
      </c>
      <c r="L37" s="85">
        <f t="shared" si="21"/>
        <v>0</v>
      </c>
      <c r="M37" s="39">
        <f t="shared" si="13"/>
        <v>45045</v>
      </c>
      <c r="N37" s="23" t="str">
        <f t="shared" si="14"/>
        <v/>
      </c>
      <c r="O37" s="729"/>
      <c r="P37" s="151">
        <f t="shared" si="8"/>
        <v>-11000</v>
      </c>
      <c r="Q37" s="152">
        <f t="shared" si="9"/>
        <v>38</v>
      </c>
      <c r="R37" s="47">
        <f t="shared" si="10"/>
        <v>38</v>
      </c>
      <c r="S37" s="47">
        <f t="shared" si="11"/>
        <v>38</v>
      </c>
      <c r="T37" s="47">
        <f t="shared" si="15"/>
        <v>38</v>
      </c>
      <c r="U37" s="47">
        <f t="shared" si="16"/>
        <v>38</v>
      </c>
      <c r="V37" s="153">
        <v>12000</v>
      </c>
      <c r="W37" s="472">
        <f t="shared" si="17"/>
        <v>45045</v>
      </c>
    </row>
    <row r="38" spans="1:23" ht="17.100000000000001" customHeight="1">
      <c r="A38" s="111">
        <v>24000</v>
      </c>
      <c r="B38" s="121">
        <f>IF(C38="O","",RANK(W38,W$24:W$74,1)+COUNTIF($W$24:W38,W38)-1)</f>
        <v>43</v>
      </c>
      <c r="C38" s="480"/>
      <c r="D38" s="37" t="s">
        <v>93</v>
      </c>
      <c r="E38" s="185">
        <v>100000</v>
      </c>
      <c r="F38" s="129">
        <v>1200</v>
      </c>
      <c r="G38" s="131">
        <v>1100</v>
      </c>
      <c r="H38" s="185">
        <v>20000</v>
      </c>
      <c r="I38" s="22">
        <f t="shared" si="6"/>
        <v>24000</v>
      </c>
      <c r="J38" s="38">
        <f t="shared" si="7"/>
        <v>54340</v>
      </c>
      <c r="K38" s="84">
        <f t="shared" si="20"/>
        <v>0</v>
      </c>
      <c r="L38" s="85">
        <f t="shared" si="21"/>
        <v>0</v>
      </c>
      <c r="M38" s="39">
        <f t="shared" si="13"/>
        <v>54340</v>
      </c>
      <c r="N38" s="23" t="str">
        <f t="shared" si="14"/>
        <v/>
      </c>
      <c r="O38" s="729"/>
      <c r="P38" s="151">
        <f t="shared" si="8"/>
        <v>-17000</v>
      </c>
      <c r="Q38" s="152">
        <f t="shared" si="9"/>
        <v>43</v>
      </c>
      <c r="R38" s="47">
        <f t="shared" si="10"/>
        <v>43</v>
      </c>
      <c r="S38" s="47">
        <f t="shared" si="11"/>
        <v>43</v>
      </c>
      <c r="T38" s="47">
        <f t="shared" si="15"/>
        <v>43</v>
      </c>
      <c r="U38" s="47">
        <f t="shared" si="16"/>
        <v>43</v>
      </c>
      <c r="V38" s="153">
        <v>15000</v>
      </c>
      <c r="W38" s="472">
        <f t="shared" si="17"/>
        <v>54340</v>
      </c>
    </row>
    <row r="39" spans="1:23" ht="17.100000000000001" customHeight="1" thickBot="1">
      <c r="A39" s="111">
        <v>24000</v>
      </c>
      <c r="B39" s="121">
        <f>IF(C39="O","",RANK(W39,W$24:W$74,1)+COUNTIF($W$24:W39,W39)-1)</f>
        <v>44</v>
      </c>
      <c r="C39" s="481"/>
      <c r="D39" s="435" t="s">
        <v>94</v>
      </c>
      <c r="E39" s="186">
        <v>120000</v>
      </c>
      <c r="F39" s="132">
        <v>1500</v>
      </c>
      <c r="G39" s="133">
        <v>1000</v>
      </c>
      <c r="H39" s="186">
        <v>24000</v>
      </c>
      <c r="I39" s="8">
        <f t="shared" si="6"/>
        <v>24000</v>
      </c>
      <c r="J39" s="29">
        <f t="shared" si="7"/>
        <v>68640.000000000015</v>
      </c>
      <c r="K39" s="86">
        <f t="shared" si="20"/>
        <v>0</v>
      </c>
      <c r="L39" s="87">
        <f t="shared" si="21"/>
        <v>0</v>
      </c>
      <c r="M39" s="59">
        <f t="shared" si="13"/>
        <v>68640.000000000015</v>
      </c>
      <c r="N39" s="32" t="str">
        <f t="shared" si="14"/>
        <v/>
      </c>
      <c r="O39" s="730"/>
      <c r="P39" s="261">
        <f t="shared" si="8"/>
        <v>-21000</v>
      </c>
      <c r="Q39" s="152">
        <f t="shared" si="9"/>
        <v>44</v>
      </c>
      <c r="R39" s="47">
        <f t="shared" si="10"/>
        <v>44</v>
      </c>
      <c r="S39" s="47">
        <f t="shared" si="11"/>
        <v>44</v>
      </c>
      <c r="T39" s="47">
        <f t="shared" si="15"/>
        <v>44</v>
      </c>
      <c r="U39" s="47">
        <f t="shared" si="16"/>
        <v>44</v>
      </c>
      <c r="V39" s="153">
        <v>15000</v>
      </c>
      <c r="W39" s="472">
        <f t="shared" si="17"/>
        <v>68640.000000000015</v>
      </c>
    </row>
    <row r="40" spans="1:23" ht="17.100000000000001" customHeight="1">
      <c r="A40" s="111">
        <v>7000</v>
      </c>
      <c r="B40" s="121">
        <f>IF(C40="O","",RANK(W40,W$24:W$74,1)+COUNTIF($W$24:W40,W40)-1)</f>
        <v>2</v>
      </c>
      <c r="C40" s="482"/>
      <c r="D40" s="122" t="s">
        <v>99</v>
      </c>
      <c r="E40" s="183">
        <v>34000</v>
      </c>
      <c r="F40" s="125">
        <v>115</v>
      </c>
      <c r="G40" s="173" t="s">
        <v>84</v>
      </c>
      <c r="H40" s="183">
        <v>750</v>
      </c>
      <c r="I40" s="16">
        <f t="shared" si="6"/>
        <v>7000</v>
      </c>
      <c r="J40" s="27">
        <f t="shared" si="7"/>
        <v>19305.000000000004</v>
      </c>
      <c r="K40" s="82">
        <f>IF(F$8*(100-F$9)/100&lt;F40,0,((F$8*(100-F$9)/100)-F40)*60*1.7)*IF($N$10="O",0.65,1)</f>
        <v>8140.9769999999999</v>
      </c>
      <c r="L40" s="83">
        <v>0</v>
      </c>
      <c r="M40" s="33">
        <f t="shared" si="13"/>
        <v>28260.074700000005</v>
      </c>
      <c r="N40" s="30" t="str">
        <f t="shared" si="14"/>
        <v>데이터(2.25GB) 부족</v>
      </c>
      <c r="O40" s="774" t="s">
        <v>105</v>
      </c>
      <c r="P40" s="261">
        <f t="shared" si="8"/>
        <v>2250</v>
      </c>
      <c r="Q40" s="152">
        <f t="shared" si="9"/>
        <v>2</v>
      </c>
      <c r="R40" s="47">
        <f t="shared" si="10"/>
        <v>2</v>
      </c>
      <c r="S40" s="47" t="str">
        <f t="shared" si="11"/>
        <v/>
      </c>
      <c r="T40" s="47" t="str">
        <f t="shared" si="15"/>
        <v/>
      </c>
      <c r="U40" s="47">
        <f t="shared" si="16"/>
        <v>2</v>
      </c>
      <c r="V40" s="153">
        <v>5000</v>
      </c>
      <c r="W40" s="472">
        <f t="shared" si="17"/>
        <v>28260.074700000005</v>
      </c>
    </row>
    <row r="41" spans="1:23" ht="17.100000000000001" customHeight="1">
      <c r="A41" s="111">
        <v>10500</v>
      </c>
      <c r="B41" s="121">
        <f>IF(C41="O","",RANK(W41,W$24:W$74,1)+COUNTIF($W$24:W41,W41)-1)</f>
        <v>4</v>
      </c>
      <c r="C41" s="480"/>
      <c r="D41" s="123" t="s">
        <v>100</v>
      </c>
      <c r="E41" s="184">
        <v>42000</v>
      </c>
      <c r="F41" s="134">
        <v>148</v>
      </c>
      <c r="G41" s="174" t="s">
        <v>84</v>
      </c>
      <c r="H41" s="184">
        <v>1400</v>
      </c>
      <c r="I41" s="96">
        <f t="shared" si="6"/>
        <v>10500</v>
      </c>
      <c r="J41" s="97">
        <f t="shared" si="7"/>
        <v>22522.5</v>
      </c>
      <c r="K41" s="84">
        <f t="shared" ref="K41:K42" si="22">IF(F$8*(100-F$9)/100&lt;F41,0,((F$8*(100-F$9)/100)-F41)*60*1.7)*IF($N$10="O",0.65,1)</f>
        <v>5953.0770000000002</v>
      </c>
      <c r="L41" s="93">
        <v>0</v>
      </c>
      <c r="M41" s="171">
        <f t="shared" si="13"/>
        <v>29070.884700000002</v>
      </c>
      <c r="N41" s="172" t="str">
        <f t="shared" si="14"/>
        <v>데이터(1.6GB) 부족</v>
      </c>
      <c r="O41" s="775"/>
      <c r="P41" s="261">
        <f t="shared" si="8"/>
        <v>1600</v>
      </c>
      <c r="Q41" s="152">
        <f t="shared" si="9"/>
        <v>4</v>
      </c>
      <c r="R41" s="47">
        <f t="shared" si="10"/>
        <v>4</v>
      </c>
      <c r="S41" s="47" t="str">
        <f t="shared" si="11"/>
        <v/>
      </c>
      <c r="T41" s="47" t="str">
        <f t="shared" si="15"/>
        <v/>
      </c>
      <c r="U41" s="47">
        <f t="shared" si="16"/>
        <v>4</v>
      </c>
      <c r="V41" s="153">
        <v>5000</v>
      </c>
      <c r="W41" s="472">
        <f t="shared" si="17"/>
        <v>29070.884700000002</v>
      </c>
    </row>
    <row r="42" spans="1:23" ht="17.100000000000001" customHeight="1" thickBot="1">
      <c r="A42" s="111">
        <v>13500</v>
      </c>
      <c r="B42" s="121">
        <f>IF(C42="O","",RANK(W42,W$24:W$74,1)+COUNTIF($W$24:W42,W42)-1)</f>
        <v>6</v>
      </c>
      <c r="C42" s="483"/>
      <c r="D42" s="435" t="s">
        <v>101</v>
      </c>
      <c r="E42" s="186">
        <v>52000</v>
      </c>
      <c r="F42" s="132">
        <v>205</v>
      </c>
      <c r="G42" s="436" t="s">
        <v>84</v>
      </c>
      <c r="H42" s="186">
        <v>2100</v>
      </c>
      <c r="I42" s="8">
        <f t="shared" si="6"/>
        <v>13500</v>
      </c>
      <c r="J42" s="29">
        <f t="shared" si="7"/>
        <v>27527.5</v>
      </c>
      <c r="K42" s="86">
        <f t="shared" si="22"/>
        <v>2173.9769999999999</v>
      </c>
      <c r="L42" s="87">
        <v>0</v>
      </c>
      <c r="M42" s="59">
        <f t="shared" si="13"/>
        <v>29918.8747</v>
      </c>
      <c r="N42" s="32" t="str">
        <f t="shared" si="14"/>
        <v>데이터(0.9GB) 부족</v>
      </c>
      <c r="O42" s="776"/>
      <c r="P42" s="261">
        <f t="shared" si="8"/>
        <v>900</v>
      </c>
      <c r="Q42" s="152">
        <f t="shared" si="9"/>
        <v>6</v>
      </c>
      <c r="R42" s="47">
        <f t="shared" si="10"/>
        <v>6</v>
      </c>
      <c r="S42" s="47" t="str">
        <f t="shared" si="11"/>
        <v/>
      </c>
      <c r="T42" s="47" t="str">
        <f t="shared" si="15"/>
        <v/>
      </c>
      <c r="U42" s="47">
        <f t="shared" si="16"/>
        <v>6</v>
      </c>
      <c r="V42" s="153">
        <v>5000</v>
      </c>
      <c r="W42" s="472">
        <f t="shared" si="17"/>
        <v>29918.8747</v>
      </c>
    </row>
    <row r="43" spans="1:23" ht="17.100000000000001" customHeight="1">
      <c r="A43" s="111">
        <v>13500</v>
      </c>
      <c r="B43" s="121" t="str">
        <f>IF(C43="O","",RANK(W43,W$24:W$74,1)+COUNTIF($W$24:W43,W43)-1)</f>
        <v/>
      </c>
      <c r="C43" s="484" t="s">
        <v>243</v>
      </c>
      <c r="D43" s="122" t="s">
        <v>118</v>
      </c>
      <c r="E43" s="183">
        <v>55000</v>
      </c>
      <c r="F43" s="125">
        <v>250</v>
      </c>
      <c r="G43" s="176">
        <v>250</v>
      </c>
      <c r="H43" s="183">
        <v>2500</v>
      </c>
      <c r="I43" s="16">
        <f t="shared" si="6"/>
        <v>13500</v>
      </c>
      <c r="J43" s="27">
        <f t="shared" si="7"/>
        <v>29672.500000000007</v>
      </c>
      <c r="K43" s="89">
        <f>IF(F$8&lt;F43,0,((F$8-F43)*60*1.8))*IF($N$10="O",0.65,1)</f>
        <v>3580.2000000000003</v>
      </c>
      <c r="L43" s="83">
        <f>IF($F$10&lt;$G43,0,($F$10-G43)*20)*IF($N$10="O",0.65,1)</f>
        <v>0</v>
      </c>
      <c r="M43" s="33">
        <f t="shared" si="13"/>
        <v>33610.720000000008</v>
      </c>
      <c r="N43" s="30" t="str">
        <f t="shared" si="14"/>
        <v>데이터(0.5GB) 부족</v>
      </c>
      <c r="O43" s="777" t="s">
        <v>117</v>
      </c>
      <c r="P43" s="261">
        <f t="shared" si="8"/>
        <v>500</v>
      </c>
      <c r="Q43" s="152" t="str">
        <f t="shared" si="9"/>
        <v/>
      </c>
      <c r="R43" s="47" t="str">
        <f t="shared" si="10"/>
        <v/>
      </c>
      <c r="S43" s="47" t="str">
        <f t="shared" si="11"/>
        <v/>
      </c>
      <c r="T43" s="47" t="str">
        <f t="shared" si="15"/>
        <v/>
      </c>
      <c r="U43" s="47" t="str">
        <f t="shared" si="16"/>
        <v/>
      </c>
      <c r="V43" s="153">
        <v>5000</v>
      </c>
      <c r="W43" s="472" t="str">
        <f t="shared" si="17"/>
        <v/>
      </c>
    </row>
    <row r="44" spans="1:23" ht="17.100000000000001" customHeight="1">
      <c r="A44" s="111">
        <v>18000</v>
      </c>
      <c r="B44" s="121" t="str">
        <f>IF(C44="O","",RANK(W44,W$24:W$74,1)+COUNTIF($W$24:W44,W44)-1)</f>
        <v/>
      </c>
      <c r="C44" s="480" t="s">
        <v>243</v>
      </c>
      <c r="D44" s="5" t="s">
        <v>119</v>
      </c>
      <c r="E44" s="185">
        <v>65000</v>
      </c>
      <c r="F44" s="129">
        <v>350</v>
      </c>
      <c r="G44" s="131">
        <v>350</v>
      </c>
      <c r="H44" s="185">
        <v>6000</v>
      </c>
      <c r="I44" s="6">
        <f t="shared" si="6"/>
        <v>18000</v>
      </c>
      <c r="J44" s="28">
        <f t="shared" si="7"/>
        <v>33605.000000000007</v>
      </c>
      <c r="K44" s="103">
        <f t="shared" ref="K44:K45" si="23">IF(F$8&lt;F44,0,((F$8-F44)*60*1.8))*IF($N$10="O",0.65,1)</f>
        <v>0</v>
      </c>
      <c r="L44" s="85">
        <f t="shared" ref="L44:L45" si="24">IF($F$10&lt;$G44,0,($F$10-G44)*20)*IF($N$10="O",0.65,1)</f>
        <v>0</v>
      </c>
      <c r="M44" s="58">
        <f t="shared" si="13"/>
        <v>33605.000000000007</v>
      </c>
      <c r="N44" s="31" t="str">
        <f t="shared" si="14"/>
        <v/>
      </c>
      <c r="O44" s="778"/>
      <c r="P44" s="261">
        <f t="shared" si="8"/>
        <v>-3000</v>
      </c>
      <c r="Q44" s="152" t="str">
        <f t="shared" si="9"/>
        <v/>
      </c>
      <c r="R44" s="47" t="str">
        <f t="shared" si="10"/>
        <v/>
      </c>
      <c r="S44" s="47" t="str">
        <f t="shared" si="11"/>
        <v/>
      </c>
      <c r="T44" s="47" t="str">
        <f t="shared" si="15"/>
        <v/>
      </c>
      <c r="U44" s="47" t="str">
        <f t="shared" si="16"/>
        <v/>
      </c>
      <c r="V44" s="153">
        <v>8000</v>
      </c>
      <c r="W44" s="472" t="str">
        <f t="shared" si="17"/>
        <v/>
      </c>
    </row>
    <row r="45" spans="1:23" ht="17.100000000000001" customHeight="1" thickBot="1">
      <c r="A45" s="111">
        <v>20000</v>
      </c>
      <c r="B45" s="121" t="str">
        <f>IF(C45="O","",RANK(W45,W$24:W$74,1)+COUNTIF($W$24:W45,W45)-1)</f>
        <v/>
      </c>
      <c r="C45" s="481" t="s">
        <v>243</v>
      </c>
      <c r="D45" s="437" t="s">
        <v>120</v>
      </c>
      <c r="E45" s="246">
        <v>75000</v>
      </c>
      <c r="F45" s="247">
        <v>500</v>
      </c>
      <c r="G45" s="438">
        <v>450</v>
      </c>
      <c r="H45" s="246">
        <v>10000</v>
      </c>
      <c r="I45" s="98">
        <f t="shared" si="6"/>
        <v>20000</v>
      </c>
      <c r="J45" s="99">
        <f t="shared" si="7"/>
        <v>39325.000000000007</v>
      </c>
      <c r="K45" s="104">
        <f t="shared" si="23"/>
        <v>0</v>
      </c>
      <c r="L45" s="100">
        <f t="shared" si="24"/>
        <v>0</v>
      </c>
      <c r="M45" s="101">
        <f t="shared" si="13"/>
        <v>39325.000000000007</v>
      </c>
      <c r="N45" s="102" t="str">
        <f t="shared" si="14"/>
        <v/>
      </c>
      <c r="O45" s="779"/>
      <c r="P45" s="261">
        <f t="shared" si="8"/>
        <v>-7000</v>
      </c>
      <c r="Q45" s="152" t="str">
        <f t="shared" si="9"/>
        <v/>
      </c>
      <c r="R45" s="47" t="str">
        <f t="shared" si="10"/>
        <v/>
      </c>
      <c r="S45" s="47" t="str">
        <f t="shared" si="11"/>
        <v/>
      </c>
      <c r="T45" s="47" t="str">
        <f t="shared" si="15"/>
        <v/>
      </c>
      <c r="U45" s="47" t="str">
        <f t="shared" si="16"/>
        <v/>
      </c>
      <c r="V45" s="153">
        <v>10000</v>
      </c>
      <c r="W45" s="472" t="str">
        <f t="shared" si="17"/>
        <v/>
      </c>
    </row>
    <row r="46" spans="1:23" ht="17.100000000000001" customHeight="1">
      <c r="A46" s="111">
        <v>22000</v>
      </c>
      <c r="B46" s="121" t="str">
        <f>IF(C46="O","",RANK(W46,W$24:W$74,1)+COUNTIF($W$24:W46,W46)-1)</f>
        <v/>
      </c>
      <c r="C46" s="482" t="s">
        <v>243</v>
      </c>
      <c r="D46" s="269" t="s">
        <v>104</v>
      </c>
      <c r="E46" s="183">
        <v>95000</v>
      </c>
      <c r="F46" s="125">
        <v>750</v>
      </c>
      <c r="G46" s="439">
        <v>650</v>
      </c>
      <c r="H46" s="183">
        <v>14000</v>
      </c>
      <c r="I46" s="16">
        <f t="shared" si="6"/>
        <v>22000</v>
      </c>
      <c r="J46" s="27">
        <f t="shared" si="7"/>
        <v>52195</v>
      </c>
      <c r="K46" s="82">
        <f>IF(F$8&lt;F46,0,((F$8-F46)*60*1.8))*IF($N$10="O",0.65,1)</f>
        <v>0</v>
      </c>
      <c r="L46" s="83">
        <f>IF($F$10&lt;$G46,0,($F$10-G46)*20)*IF($N$10="O",0.65,1)</f>
        <v>0</v>
      </c>
      <c r="M46" s="33">
        <f t="shared" si="13"/>
        <v>52195</v>
      </c>
      <c r="N46" s="30" t="str">
        <f t="shared" si="14"/>
        <v/>
      </c>
      <c r="O46" s="777" t="s">
        <v>121</v>
      </c>
      <c r="P46" s="261">
        <f t="shared" si="8"/>
        <v>-11000</v>
      </c>
      <c r="Q46" s="152" t="str">
        <f t="shared" si="9"/>
        <v/>
      </c>
      <c r="R46" s="47" t="str">
        <f t="shared" si="10"/>
        <v/>
      </c>
      <c r="S46" s="47" t="str">
        <f t="shared" si="11"/>
        <v/>
      </c>
      <c r="T46" s="47" t="str">
        <f t="shared" si="15"/>
        <v/>
      </c>
      <c r="U46" s="47" t="str">
        <f t="shared" si="16"/>
        <v/>
      </c>
      <c r="V46" s="153">
        <v>12000</v>
      </c>
      <c r="W46" s="472" t="str">
        <f t="shared" si="17"/>
        <v/>
      </c>
    </row>
    <row r="47" spans="1:23" ht="17.100000000000001" customHeight="1">
      <c r="A47" s="111">
        <v>24000</v>
      </c>
      <c r="B47" s="121" t="str">
        <f>IF(C47="O","",RANK(W47,W$24:W$74,1)+COUNTIF($W$24:W47,W47)-1)</f>
        <v/>
      </c>
      <c r="C47" s="480" t="s">
        <v>243</v>
      </c>
      <c r="D47" s="440" t="s">
        <v>102</v>
      </c>
      <c r="E47" s="184">
        <v>110000</v>
      </c>
      <c r="F47" s="134">
        <v>1200</v>
      </c>
      <c r="G47" s="157">
        <v>1000</v>
      </c>
      <c r="H47" s="184">
        <v>20000</v>
      </c>
      <c r="I47" s="96">
        <f t="shared" si="6"/>
        <v>24000</v>
      </c>
      <c r="J47" s="97">
        <f t="shared" si="7"/>
        <v>61490.000000000015</v>
      </c>
      <c r="K47" s="89">
        <f t="shared" ref="K47:K48" si="25">IF(F$8&lt;F47,0,((F$8-F47)*60*1.8))*IF($N$10="O",0.65,1)</f>
        <v>0</v>
      </c>
      <c r="L47" s="93">
        <f t="shared" ref="L47:L48" si="26">IF($F$10&lt;$G47,0,($F$10-G47)*20)*IF($N$10="O",0.65,1)</f>
        <v>0</v>
      </c>
      <c r="M47" s="94">
        <f t="shared" si="13"/>
        <v>61490.000000000015</v>
      </c>
      <c r="N47" s="172" t="str">
        <f t="shared" si="14"/>
        <v/>
      </c>
      <c r="O47" s="778"/>
      <c r="P47" s="261">
        <f t="shared" si="8"/>
        <v>-17000</v>
      </c>
      <c r="Q47" s="152" t="str">
        <f t="shared" si="9"/>
        <v/>
      </c>
      <c r="R47" s="47" t="str">
        <f t="shared" si="10"/>
        <v/>
      </c>
      <c r="S47" s="47" t="str">
        <f t="shared" si="11"/>
        <v/>
      </c>
      <c r="T47" s="47" t="str">
        <f t="shared" si="15"/>
        <v/>
      </c>
      <c r="U47" s="47" t="str">
        <f t="shared" si="16"/>
        <v/>
      </c>
      <c r="V47" s="154">
        <v>15000</v>
      </c>
      <c r="W47" s="472" t="str">
        <f t="shared" si="17"/>
        <v/>
      </c>
    </row>
    <row r="48" spans="1:23" ht="17.100000000000001" customHeight="1" thickBot="1">
      <c r="A48" s="111">
        <v>24000</v>
      </c>
      <c r="B48" s="121" t="str">
        <f>IF(C48="O","",RANK(W48,W$24:W$74,1)+COUNTIF($W$24:W48,W48)-1)</f>
        <v/>
      </c>
      <c r="C48" s="483" t="s">
        <v>243</v>
      </c>
      <c r="D48" s="177" t="s">
        <v>103</v>
      </c>
      <c r="E48" s="186">
        <v>130000</v>
      </c>
      <c r="F48" s="132">
        <v>1500</v>
      </c>
      <c r="G48" s="133">
        <v>1000</v>
      </c>
      <c r="H48" s="186">
        <v>24000</v>
      </c>
      <c r="I48" s="8">
        <f t="shared" si="6"/>
        <v>24000</v>
      </c>
      <c r="J48" s="29">
        <f t="shared" si="7"/>
        <v>75790.000000000015</v>
      </c>
      <c r="K48" s="105">
        <f t="shared" si="25"/>
        <v>0</v>
      </c>
      <c r="L48" s="87">
        <f t="shared" si="26"/>
        <v>0</v>
      </c>
      <c r="M48" s="59">
        <f t="shared" si="13"/>
        <v>75790.000000000015</v>
      </c>
      <c r="N48" s="32" t="str">
        <f t="shared" si="14"/>
        <v/>
      </c>
      <c r="O48" s="779"/>
      <c r="P48" s="261">
        <f t="shared" si="8"/>
        <v>-21000</v>
      </c>
      <c r="Q48" s="152" t="str">
        <f t="shared" si="9"/>
        <v/>
      </c>
      <c r="R48" s="47" t="str">
        <f t="shared" si="10"/>
        <v/>
      </c>
      <c r="S48" s="47" t="str">
        <f t="shared" si="11"/>
        <v/>
      </c>
      <c r="T48" s="47" t="str">
        <f t="shared" si="15"/>
        <v/>
      </c>
      <c r="U48" s="47" t="str">
        <f t="shared" si="16"/>
        <v/>
      </c>
      <c r="V48" s="154">
        <v>15000</v>
      </c>
      <c r="W48" s="472" t="str">
        <f t="shared" si="17"/>
        <v/>
      </c>
    </row>
    <row r="49" spans="1:23" ht="17.100000000000001" customHeight="1">
      <c r="A49" s="111">
        <v>5000</v>
      </c>
      <c r="B49" s="121">
        <f>IF(C49="O","",RANK(W49,W$24:W$74,1)+COUNTIF($W$24:W49,W49)-1)</f>
        <v>14</v>
      </c>
      <c r="C49" s="484"/>
      <c r="D49" s="269" t="s">
        <v>106</v>
      </c>
      <c r="E49" s="183">
        <v>24000</v>
      </c>
      <c r="F49" s="125">
        <v>100</v>
      </c>
      <c r="G49" s="441" t="str">
        <f>IF($F$12=0,"50(무료)",$F$12&amp;"+50")</f>
        <v>50(무료)</v>
      </c>
      <c r="H49" s="183">
        <v>250</v>
      </c>
      <c r="I49" s="16">
        <f t="shared" si="6"/>
        <v>5000</v>
      </c>
      <c r="J49" s="52">
        <f>IF($N$10="X",(E49-I49+$H$12)*1.1,(E49-I49+$H$12)*1.1*0.65)</f>
        <v>13585</v>
      </c>
      <c r="K49" s="89">
        <f>IF(F$8&lt;F49,0,((F$8-F49)*60*1.8))*IF($N$10="O",0.65,1)</f>
        <v>14110.2</v>
      </c>
      <c r="L49" s="83">
        <f>IF($F$10&lt;($F$12+50),0,($F$10-$F$12-50)*20)*IF($N$10="O",0.65,1)</f>
        <v>1963</v>
      </c>
      <c r="M49" s="33">
        <f t="shared" si="13"/>
        <v>31265.52</v>
      </c>
      <c r="N49" s="30" t="str">
        <f t="shared" si="14"/>
        <v>데이터(2.75GB) 부족</v>
      </c>
      <c r="O49" s="771" t="s">
        <v>112</v>
      </c>
      <c r="P49" s="261">
        <f t="shared" si="8"/>
        <v>2750</v>
      </c>
      <c r="Q49" s="152">
        <f t="shared" si="9"/>
        <v>14</v>
      </c>
      <c r="R49" s="263">
        <f t="shared" ref="R49:R54" si="27">IF(B49=SMALL(B$49:B$54,1),B49,"")</f>
        <v>14</v>
      </c>
      <c r="S49" s="47" t="str">
        <f t="shared" si="11"/>
        <v/>
      </c>
      <c r="T49" s="263" t="str">
        <f t="shared" ref="T49:T54" si="28">IF(S49="","",IF(B49=SMALL(S$49:S$54,1),B49,""))</f>
        <v/>
      </c>
      <c r="U49" s="47">
        <f t="shared" si="16"/>
        <v>14</v>
      </c>
      <c r="V49" s="154">
        <v>5000</v>
      </c>
      <c r="W49" s="472">
        <f t="shared" si="17"/>
        <v>31265.52</v>
      </c>
    </row>
    <row r="50" spans="1:23" ht="17.100000000000001" customHeight="1">
      <c r="A50" s="111">
        <v>5000</v>
      </c>
      <c r="B50" s="121">
        <f>IF(C50="O","",RANK(W50,W$24:W$74,1)+COUNTIF($W$24:W50,W50)-1)</f>
        <v>22</v>
      </c>
      <c r="C50" s="480"/>
      <c r="D50" s="175" t="s">
        <v>106</v>
      </c>
      <c r="E50" s="185">
        <v>27500</v>
      </c>
      <c r="F50" s="129">
        <v>100</v>
      </c>
      <c r="G50" s="442" t="str">
        <f t="shared" ref="G50:G72" si="29">IF($F$12=0,"50(무료)",$F$12&amp;"+50")</f>
        <v>50(무료)</v>
      </c>
      <c r="H50" s="185">
        <v>500</v>
      </c>
      <c r="I50" s="6">
        <f t="shared" si="6"/>
        <v>5000</v>
      </c>
      <c r="J50" s="28">
        <f t="shared" ref="J50:J72" si="30">IF($N$10="X",(E50-I50+$H$12)*1.1,(E50-I50+$H$12)*1.1*0.65)</f>
        <v>16087.500000000004</v>
      </c>
      <c r="K50" s="103">
        <f t="shared" ref="K50:K72" si="31">IF(F$8&lt;F50,0,((F$8-F50)*60*1.8))*IF($N$10="O",0.65,1)</f>
        <v>14110.2</v>
      </c>
      <c r="L50" s="85">
        <f t="shared" ref="L50:L72" si="32">IF($F$10&lt;($F$12+50),0,($F$10-$F$12-50)*20)*IF($N$10="O",0.65,1)</f>
        <v>1963</v>
      </c>
      <c r="M50" s="58">
        <f t="shared" si="13"/>
        <v>33768.020000000004</v>
      </c>
      <c r="N50" s="31" t="str">
        <f t="shared" si="14"/>
        <v>데이터(2.5GB) 부족</v>
      </c>
      <c r="O50" s="772"/>
      <c r="P50" s="261">
        <f t="shared" si="8"/>
        <v>2500</v>
      </c>
      <c r="Q50" s="152">
        <f t="shared" si="9"/>
        <v>22</v>
      </c>
      <c r="R50" s="181" t="str">
        <f t="shared" si="27"/>
        <v/>
      </c>
      <c r="S50" s="47" t="str">
        <f t="shared" si="11"/>
        <v/>
      </c>
      <c r="T50" s="263" t="str">
        <f t="shared" si="28"/>
        <v/>
      </c>
      <c r="U50" s="47">
        <f t="shared" si="16"/>
        <v>22</v>
      </c>
      <c r="V50" s="154">
        <v>5000</v>
      </c>
      <c r="W50" s="472">
        <f t="shared" si="17"/>
        <v>33768.020000000004</v>
      </c>
    </row>
    <row r="51" spans="1:23" ht="17.100000000000001" customHeight="1">
      <c r="A51" s="111">
        <v>5000</v>
      </c>
      <c r="B51" s="121">
        <f>IF(C51="O","",RANK(W51,W$24:W$74,1)+COUNTIF($W$24:W51,W51)-1)</f>
        <v>25</v>
      </c>
      <c r="C51" s="480"/>
      <c r="D51" s="175" t="s">
        <v>106</v>
      </c>
      <c r="E51" s="185">
        <v>31000</v>
      </c>
      <c r="F51" s="129">
        <v>100</v>
      </c>
      <c r="G51" s="442" t="str">
        <f t="shared" si="29"/>
        <v>50(무료)</v>
      </c>
      <c r="H51" s="185">
        <v>1000</v>
      </c>
      <c r="I51" s="6">
        <f t="shared" si="6"/>
        <v>5000</v>
      </c>
      <c r="J51" s="28">
        <f t="shared" si="30"/>
        <v>18590.000000000004</v>
      </c>
      <c r="K51" s="103">
        <f t="shared" si="31"/>
        <v>14110.2</v>
      </c>
      <c r="L51" s="85">
        <f t="shared" si="32"/>
        <v>1963</v>
      </c>
      <c r="M51" s="58">
        <f t="shared" si="13"/>
        <v>36270.520000000004</v>
      </c>
      <c r="N51" s="31" t="str">
        <f t="shared" si="14"/>
        <v>데이터(2GB) 부족</v>
      </c>
      <c r="O51" s="772"/>
      <c r="P51" s="261">
        <f t="shared" si="8"/>
        <v>2000</v>
      </c>
      <c r="Q51" s="152">
        <f t="shared" si="9"/>
        <v>25</v>
      </c>
      <c r="R51" s="181" t="str">
        <f t="shared" si="27"/>
        <v/>
      </c>
      <c r="S51" s="47" t="str">
        <f t="shared" si="11"/>
        <v/>
      </c>
      <c r="T51" s="263" t="str">
        <f t="shared" si="28"/>
        <v/>
      </c>
      <c r="U51" s="47">
        <f t="shared" si="16"/>
        <v>25</v>
      </c>
      <c r="V51" s="154">
        <v>5000</v>
      </c>
      <c r="W51" s="472">
        <f t="shared" si="17"/>
        <v>36270.520000000004</v>
      </c>
    </row>
    <row r="52" spans="1:23" ht="17.100000000000001" customHeight="1">
      <c r="A52" s="112">
        <v>7000</v>
      </c>
      <c r="B52" s="121">
        <f>IF(C52="O","",RANK(W52,W$24:W$74,1)+COUNTIF($W$24:W52,W52)-1)</f>
        <v>33</v>
      </c>
      <c r="C52" s="485"/>
      <c r="D52" s="175" t="s">
        <v>106</v>
      </c>
      <c r="E52" s="185">
        <v>38000</v>
      </c>
      <c r="F52" s="129">
        <v>100</v>
      </c>
      <c r="G52" s="442" t="str">
        <f t="shared" si="29"/>
        <v>50(무료)</v>
      </c>
      <c r="H52" s="185">
        <v>2000</v>
      </c>
      <c r="I52" s="6">
        <f t="shared" si="6"/>
        <v>7000</v>
      </c>
      <c r="J52" s="28">
        <f t="shared" si="30"/>
        <v>22165</v>
      </c>
      <c r="K52" s="103">
        <f t="shared" si="31"/>
        <v>14110.2</v>
      </c>
      <c r="L52" s="85">
        <f t="shared" si="32"/>
        <v>1963</v>
      </c>
      <c r="M52" s="58">
        <f t="shared" si="13"/>
        <v>39845.520000000004</v>
      </c>
      <c r="N52" s="31" t="str">
        <f t="shared" si="14"/>
        <v>데이터(1GB) 부족</v>
      </c>
      <c r="O52" s="772"/>
      <c r="P52" s="261">
        <f t="shared" si="8"/>
        <v>1000</v>
      </c>
      <c r="Q52" s="152">
        <f t="shared" si="9"/>
        <v>33</v>
      </c>
      <c r="R52" s="181" t="str">
        <f t="shared" si="27"/>
        <v/>
      </c>
      <c r="S52" s="47" t="str">
        <f t="shared" si="11"/>
        <v/>
      </c>
      <c r="T52" s="263" t="str">
        <f t="shared" si="28"/>
        <v/>
      </c>
      <c r="U52" s="47">
        <f t="shared" si="16"/>
        <v>33</v>
      </c>
      <c r="V52" s="154">
        <v>5000</v>
      </c>
      <c r="W52" s="472">
        <f t="shared" si="17"/>
        <v>39845.520000000004</v>
      </c>
    </row>
    <row r="53" spans="1:23" ht="17.100000000000001" customHeight="1">
      <c r="A53" s="147">
        <v>10500</v>
      </c>
      <c r="B53" s="121">
        <f>IF(C53="O","",RANK(W53,W$24:W$74,1)+COUNTIF($W$24:W53,W53)-1)</f>
        <v>35</v>
      </c>
      <c r="C53" s="486"/>
      <c r="D53" s="175" t="s">
        <v>106</v>
      </c>
      <c r="E53" s="185">
        <v>45000</v>
      </c>
      <c r="F53" s="129">
        <v>100</v>
      </c>
      <c r="G53" s="442" t="str">
        <f t="shared" si="29"/>
        <v>50(무료)</v>
      </c>
      <c r="H53" s="185">
        <v>3500</v>
      </c>
      <c r="I53" s="6">
        <f t="shared" si="6"/>
        <v>10500</v>
      </c>
      <c r="J53" s="28">
        <f t="shared" si="30"/>
        <v>24667.5</v>
      </c>
      <c r="K53" s="84">
        <f t="shared" si="31"/>
        <v>14110.2</v>
      </c>
      <c r="L53" s="85">
        <f t="shared" si="32"/>
        <v>1963</v>
      </c>
      <c r="M53" s="58">
        <f t="shared" si="13"/>
        <v>42348.020000000004</v>
      </c>
      <c r="N53" s="31" t="str">
        <f t="shared" si="14"/>
        <v/>
      </c>
      <c r="O53" s="772"/>
      <c r="P53" s="261">
        <f t="shared" si="8"/>
        <v>-500</v>
      </c>
      <c r="Q53" s="152">
        <f t="shared" si="9"/>
        <v>35</v>
      </c>
      <c r="R53" s="181" t="str">
        <f t="shared" si="27"/>
        <v/>
      </c>
      <c r="S53" s="47">
        <f t="shared" si="11"/>
        <v>35</v>
      </c>
      <c r="T53" s="263">
        <f t="shared" si="28"/>
        <v>35</v>
      </c>
      <c r="U53" s="47">
        <f t="shared" si="16"/>
        <v>35</v>
      </c>
      <c r="V53" s="154">
        <v>5000</v>
      </c>
      <c r="W53" s="472">
        <f t="shared" si="17"/>
        <v>42348.020000000004</v>
      </c>
    </row>
    <row r="54" spans="1:23" ht="17.100000000000001" customHeight="1" thickBot="1">
      <c r="A54" s="147">
        <v>13500</v>
      </c>
      <c r="B54" s="121">
        <f>IF(C54="O","",RANK(W54,W$24:W$74,1)+COUNTIF($W$24:W54,W54)-1)</f>
        <v>39</v>
      </c>
      <c r="C54" s="487"/>
      <c r="D54" s="177" t="s">
        <v>106</v>
      </c>
      <c r="E54" s="186">
        <v>52500</v>
      </c>
      <c r="F54" s="132">
        <v>100</v>
      </c>
      <c r="G54" s="443" t="str">
        <f t="shared" si="29"/>
        <v>50(무료)</v>
      </c>
      <c r="H54" s="186">
        <v>7000</v>
      </c>
      <c r="I54" s="8">
        <f t="shared" si="6"/>
        <v>13500</v>
      </c>
      <c r="J54" s="29">
        <f t="shared" si="30"/>
        <v>27885</v>
      </c>
      <c r="K54" s="86">
        <f t="shared" si="31"/>
        <v>14110.2</v>
      </c>
      <c r="L54" s="87">
        <f t="shared" si="32"/>
        <v>1963</v>
      </c>
      <c r="M54" s="59">
        <f t="shared" si="13"/>
        <v>45565.520000000004</v>
      </c>
      <c r="N54" s="32" t="str">
        <f t="shared" si="14"/>
        <v/>
      </c>
      <c r="O54" s="773"/>
      <c r="P54" s="261">
        <f t="shared" si="8"/>
        <v>-4000</v>
      </c>
      <c r="Q54" s="152">
        <f t="shared" si="9"/>
        <v>39</v>
      </c>
      <c r="R54" s="181" t="str">
        <f t="shared" si="27"/>
        <v/>
      </c>
      <c r="S54" s="47">
        <f t="shared" si="11"/>
        <v>39</v>
      </c>
      <c r="T54" s="263" t="str">
        <f t="shared" si="28"/>
        <v/>
      </c>
      <c r="U54" s="47">
        <f t="shared" si="16"/>
        <v>39</v>
      </c>
      <c r="V54" s="154">
        <v>5000</v>
      </c>
      <c r="W54" s="472">
        <f t="shared" si="17"/>
        <v>45565.520000000004</v>
      </c>
    </row>
    <row r="55" spans="1:23" ht="17.100000000000001" customHeight="1">
      <c r="A55" s="111">
        <v>5000</v>
      </c>
      <c r="B55" s="121">
        <f>IF(C55="O","",RANK(W55,W$24:W$74,1)+COUNTIF($W$24:W55,W55)-1)</f>
        <v>12</v>
      </c>
      <c r="C55" s="482"/>
      <c r="D55" s="269" t="s">
        <v>109</v>
      </c>
      <c r="E55" s="183">
        <v>34000</v>
      </c>
      <c r="F55" s="125">
        <v>200</v>
      </c>
      <c r="G55" s="441" t="str">
        <f t="shared" si="29"/>
        <v>50(무료)</v>
      </c>
      <c r="H55" s="183">
        <v>250</v>
      </c>
      <c r="I55" s="16">
        <f t="shared" si="6"/>
        <v>5000</v>
      </c>
      <c r="J55" s="27">
        <f t="shared" si="30"/>
        <v>20735.000000000004</v>
      </c>
      <c r="K55" s="89">
        <f t="shared" si="31"/>
        <v>7090.2</v>
      </c>
      <c r="L55" s="83">
        <f t="shared" si="32"/>
        <v>1963</v>
      </c>
      <c r="M55" s="33">
        <f t="shared" si="13"/>
        <v>30693.520000000004</v>
      </c>
      <c r="N55" s="30" t="str">
        <f t="shared" ref="N55:N72" si="33">IF(H55="무제한","",IF(($F$11-H55)&gt;0,"데이터("&amp;P55/1000&amp;"GB) 부족",""))</f>
        <v>데이터(2.75GB) 부족</v>
      </c>
      <c r="O55" s="771" t="s">
        <v>113</v>
      </c>
      <c r="P55" s="261">
        <f t="shared" ref="P55:P72" si="34">$F$11-H55</f>
        <v>2750</v>
      </c>
      <c r="Q55" s="152">
        <f t="shared" si="9"/>
        <v>12</v>
      </c>
      <c r="R55" s="263">
        <f t="shared" ref="R55:R60" si="35">IF(B55=SMALL(B$55:B$60,1),B55,"")</f>
        <v>12</v>
      </c>
      <c r="S55" s="47" t="str">
        <f t="shared" si="11"/>
        <v/>
      </c>
      <c r="T55" s="263" t="str">
        <f t="shared" ref="T55:T60" si="36">IF(S55="","",IF(B55=SMALL(S$55:S$60,1),B55,""))</f>
        <v/>
      </c>
      <c r="U55" s="47">
        <f t="shared" si="16"/>
        <v>12</v>
      </c>
      <c r="V55" s="154">
        <v>5000</v>
      </c>
      <c r="W55" s="472">
        <f t="shared" si="17"/>
        <v>30693.520000000004</v>
      </c>
    </row>
    <row r="56" spans="1:23" ht="16.5" customHeight="1">
      <c r="A56" s="111">
        <v>7000</v>
      </c>
      <c r="B56" s="121">
        <f>IF(C56="O","",RANK(W56,W$24:W$74,1)+COUNTIF($W$24:W56,W56)-1)</f>
        <v>12</v>
      </c>
      <c r="C56" s="480"/>
      <c r="D56" s="175" t="s">
        <v>108</v>
      </c>
      <c r="E56" s="185">
        <v>35500</v>
      </c>
      <c r="F56" s="129">
        <v>200</v>
      </c>
      <c r="G56" s="442" t="str">
        <f t="shared" si="29"/>
        <v>50(무료)</v>
      </c>
      <c r="H56" s="185">
        <v>500</v>
      </c>
      <c r="I56" s="6">
        <f t="shared" ref="I56:I74" si="37">IF($N$8="X",A56,A56+V56)</f>
        <v>7000</v>
      </c>
      <c r="J56" s="28">
        <f t="shared" si="30"/>
        <v>20377.500000000004</v>
      </c>
      <c r="K56" s="103">
        <f t="shared" si="31"/>
        <v>7090.2</v>
      </c>
      <c r="L56" s="85">
        <f t="shared" si="32"/>
        <v>1963</v>
      </c>
      <c r="M56" s="58">
        <f t="shared" si="13"/>
        <v>30336.020000000004</v>
      </c>
      <c r="N56" s="31" t="str">
        <f t="shared" si="33"/>
        <v>데이터(2.5GB) 부족</v>
      </c>
      <c r="O56" s="772"/>
      <c r="P56" s="261">
        <f t="shared" si="34"/>
        <v>2500</v>
      </c>
      <c r="Q56" s="152">
        <f t="shared" ref="Q56:Q74" si="38">B56</f>
        <v>12</v>
      </c>
      <c r="R56" s="263">
        <f t="shared" si="35"/>
        <v>12</v>
      </c>
      <c r="S56" s="47" t="str">
        <f t="shared" ref="S56:S74" si="39">IF($F$11&lt;=H56,B56,"")</f>
        <v/>
      </c>
      <c r="T56" s="263" t="str">
        <f t="shared" si="36"/>
        <v/>
      </c>
      <c r="U56" s="47">
        <f t="shared" si="16"/>
        <v>12</v>
      </c>
      <c r="V56" s="154">
        <v>5000</v>
      </c>
      <c r="W56" s="472">
        <f t="shared" si="17"/>
        <v>30336.020000000004</v>
      </c>
    </row>
    <row r="57" spans="1:23" ht="17.100000000000001" customHeight="1">
      <c r="A57" s="111">
        <v>7000</v>
      </c>
      <c r="B57" s="121">
        <f>IF(C57="O","",RANK(W57,W$24:W$74,1)+COUNTIF($W$24:W57,W57)-1)</f>
        <v>15</v>
      </c>
      <c r="C57" s="480"/>
      <c r="D57" s="175" t="s">
        <v>108</v>
      </c>
      <c r="E57" s="185">
        <v>37000</v>
      </c>
      <c r="F57" s="129">
        <v>200</v>
      </c>
      <c r="G57" s="442" t="str">
        <f t="shared" si="29"/>
        <v>50(무료)</v>
      </c>
      <c r="H57" s="185">
        <v>1000</v>
      </c>
      <c r="I57" s="6">
        <f t="shared" si="37"/>
        <v>7000</v>
      </c>
      <c r="J57" s="28">
        <f t="shared" si="30"/>
        <v>21450</v>
      </c>
      <c r="K57" s="103">
        <f t="shared" si="31"/>
        <v>7090.2</v>
      </c>
      <c r="L57" s="85">
        <f t="shared" si="32"/>
        <v>1963</v>
      </c>
      <c r="M57" s="58">
        <f t="shared" si="13"/>
        <v>31408.520000000004</v>
      </c>
      <c r="N57" s="31" t="str">
        <f t="shared" si="33"/>
        <v>데이터(2GB) 부족</v>
      </c>
      <c r="O57" s="772"/>
      <c r="P57" s="261">
        <f t="shared" si="34"/>
        <v>2000</v>
      </c>
      <c r="Q57" s="152">
        <f t="shared" si="38"/>
        <v>15</v>
      </c>
      <c r="R57" s="263" t="str">
        <f t="shared" si="35"/>
        <v/>
      </c>
      <c r="S57" s="47" t="str">
        <f t="shared" si="39"/>
        <v/>
      </c>
      <c r="T57" s="263" t="str">
        <f t="shared" si="36"/>
        <v/>
      </c>
      <c r="U57" s="47">
        <f t="shared" si="16"/>
        <v>15</v>
      </c>
      <c r="V57" s="154">
        <v>5000</v>
      </c>
      <c r="W57" s="472">
        <f t="shared" si="17"/>
        <v>31408.520000000004</v>
      </c>
    </row>
    <row r="58" spans="1:23" ht="17.100000000000001" customHeight="1">
      <c r="A58" s="112">
        <v>10500</v>
      </c>
      <c r="B58" s="121">
        <f>IF(C58="O","",RANK(W58,W$24:W$74,1)+COUNTIF($W$24:W58,W58)-1)</f>
        <v>24</v>
      </c>
      <c r="C58" s="485"/>
      <c r="D58" s="175" t="s">
        <v>108</v>
      </c>
      <c r="E58" s="185">
        <v>45500</v>
      </c>
      <c r="F58" s="129">
        <v>200</v>
      </c>
      <c r="G58" s="442" t="str">
        <f t="shared" si="29"/>
        <v>50(무료)</v>
      </c>
      <c r="H58" s="185">
        <v>2000</v>
      </c>
      <c r="I58" s="6">
        <f t="shared" si="37"/>
        <v>10500</v>
      </c>
      <c r="J58" s="28">
        <f t="shared" si="30"/>
        <v>25025</v>
      </c>
      <c r="K58" s="103">
        <f t="shared" si="31"/>
        <v>7090.2</v>
      </c>
      <c r="L58" s="85">
        <f t="shared" si="32"/>
        <v>1963</v>
      </c>
      <c r="M58" s="58">
        <f t="shared" si="13"/>
        <v>34983.520000000004</v>
      </c>
      <c r="N58" s="31" t="str">
        <f t="shared" si="33"/>
        <v>데이터(1GB) 부족</v>
      </c>
      <c r="O58" s="772"/>
      <c r="P58" s="261">
        <f t="shared" si="34"/>
        <v>1000</v>
      </c>
      <c r="Q58" s="152">
        <f t="shared" si="38"/>
        <v>24</v>
      </c>
      <c r="R58" s="263" t="str">
        <f t="shared" si="35"/>
        <v/>
      </c>
      <c r="S58" s="47" t="str">
        <f t="shared" si="39"/>
        <v/>
      </c>
      <c r="T58" s="263" t="str">
        <f t="shared" si="36"/>
        <v/>
      </c>
      <c r="U58" s="47">
        <f t="shared" si="16"/>
        <v>24</v>
      </c>
      <c r="V58" s="154">
        <v>5000</v>
      </c>
      <c r="W58" s="472">
        <f t="shared" si="17"/>
        <v>34983.520000000004</v>
      </c>
    </row>
    <row r="59" spans="1:23" ht="17.100000000000001" customHeight="1">
      <c r="A59" s="147">
        <v>10500</v>
      </c>
      <c r="B59" s="121">
        <f>IF(C59="O","",RANK(W59,W$24:W$74,1)+COUNTIF($W$24:W59,W59)-1)</f>
        <v>31</v>
      </c>
      <c r="C59" s="486"/>
      <c r="D59" s="175" t="s">
        <v>108</v>
      </c>
      <c r="E59" s="185">
        <v>50500</v>
      </c>
      <c r="F59" s="129">
        <v>200</v>
      </c>
      <c r="G59" s="442" t="str">
        <f t="shared" si="29"/>
        <v>50(무료)</v>
      </c>
      <c r="H59" s="185">
        <v>3500</v>
      </c>
      <c r="I59" s="6">
        <f t="shared" si="37"/>
        <v>10500</v>
      </c>
      <c r="J59" s="28">
        <f t="shared" si="30"/>
        <v>28600</v>
      </c>
      <c r="K59" s="84">
        <f t="shared" si="31"/>
        <v>7090.2</v>
      </c>
      <c r="L59" s="85">
        <f t="shared" si="32"/>
        <v>1963</v>
      </c>
      <c r="M59" s="58">
        <f t="shared" si="13"/>
        <v>38558.520000000004</v>
      </c>
      <c r="N59" s="31" t="str">
        <f t="shared" si="33"/>
        <v/>
      </c>
      <c r="O59" s="772"/>
      <c r="P59" s="261">
        <f t="shared" si="34"/>
        <v>-500</v>
      </c>
      <c r="Q59" s="152">
        <f t="shared" si="38"/>
        <v>31</v>
      </c>
      <c r="R59" s="263" t="str">
        <f t="shared" si="35"/>
        <v/>
      </c>
      <c r="S59" s="47">
        <f t="shared" si="39"/>
        <v>31</v>
      </c>
      <c r="T59" s="263">
        <f t="shared" si="36"/>
        <v>31</v>
      </c>
      <c r="U59" s="47">
        <f t="shared" si="16"/>
        <v>31</v>
      </c>
      <c r="V59" s="154">
        <v>5000</v>
      </c>
      <c r="W59" s="472">
        <f t="shared" si="17"/>
        <v>38558.520000000004</v>
      </c>
    </row>
    <row r="60" spans="1:23" ht="17.100000000000001" customHeight="1" thickBot="1">
      <c r="A60" s="147">
        <v>13500</v>
      </c>
      <c r="B60" s="121">
        <f>IF(C60="O","",RANK(W60,W$24:W$74,1)+COUNTIF($W$24:W60,W60)-1)</f>
        <v>36</v>
      </c>
      <c r="C60" s="488"/>
      <c r="D60" s="175" t="s">
        <v>108</v>
      </c>
      <c r="E60" s="186">
        <v>59000</v>
      </c>
      <c r="F60" s="129">
        <v>200</v>
      </c>
      <c r="G60" s="443" t="str">
        <f t="shared" si="29"/>
        <v>50(무료)</v>
      </c>
      <c r="H60" s="186">
        <v>7000</v>
      </c>
      <c r="I60" s="8">
        <f t="shared" si="37"/>
        <v>13500</v>
      </c>
      <c r="J60" s="29">
        <f t="shared" si="30"/>
        <v>32532.500000000007</v>
      </c>
      <c r="K60" s="86">
        <f t="shared" si="31"/>
        <v>7090.2</v>
      </c>
      <c r="L60" s="87">
        <f t="shared" si="32"/>
        <v>1963</v>
      </c>
      <c r="M60" s="59">
        <f t="shared" si="13"/>
        <v>42491.020000000011</v>
      </c>
      <c r="N60" s="32" t="str">
        <f t="shared" si="33"/>
        <v/>
      </c>
      <c r="O60" s="773"/>
      <c r="P60" s="261">
        <f t="shared" si="34"/>
        <v>-4000</v>
      </c>
      <c r="Q60" s="152">
        <f t="shared" si="38"/>
        <v>36</v>
      </c>
      <c r="R60" s="263" t="str">
        <f t="shared" si="35"/>
        <v/>
      </c>
      <c r="S60" s="47">
        <f t="shared" si="39"/>
        <v>36</v>
      </c>
      <c r="T60" s="263" t="str">
        <f t="shared" si="36"/>
        <v/>
      </c>
      <c r="U60" s="47">
        <f t="shared" si="16"/>
        <v>36</v>
      </c>
      <c r="V60" s="154">
        <v>5000</v>
      </c>
      <c r="W60" s="472">
        <f t="shared" si="17"/>
        <v>42491.020000000011</v>
      </c>
    </row>
    <row r="61" spans="1:23" ht="17.100000000000001" customHeight="1">
      <c r="A61" s="111">
        <v>10500</v>
      </c>
      <c r="B61" s="121">
        <f>IF(C61="O","",RANK(W61,W$24:W$74,1)+COUNTIF($W$24:W61,W61)-1)</f>
        <v>1</v>
      </c>
      <c r="C61" s="484"/>
      <c r="D61" s="269" t="s">
        <v>110</v>
      </c>
      <c r="E61" s="183">
        <v>44500</v>
      </c>
      <c r="F61" s="125">
        <v>300</v>
      </c>
      <c r="G61" s="441" t="str">
        <f t="shared" si="29"/>
        <v>50(무료)</v>
      </c>
      <c r="H61" s="183">
        <v>250</v>
      </c>
      <c r="I61" s="16">
        <f t="shared" si="37"/>
        <v>10500</v>
      </c>
      <c r="J61" s="27">
        <f t="shared" si="30"/>
        <v>24310</v>
      </c>
      <c r="K61" s="89">
        <f t="shared" si="31"/>
        <v>70.2</v>
      </c>
      <c r="L61" s="83">
        <f t="shared" si="32"/>
        <v>1963</v>
      </c>
      <c r="M61" s="33">
        <f t="shared" si="13"/>
        <v>26546.52</v>
      </c>
      <c r="N61" s="30" t="str">
        <f t="shared" si="33"/>
        <v>데이터(2.75GB) 부족</v>
      </c>
      <c r="O61" s="771" t="s">
        <v>114</v>
      </c>
      <c r="P61" s="261">
        <f t="shared" si="34"/>
        <v>2750</v>
      </c>
      <c r="Q61" s="152">
        <f t="shared" si="38"/>
        <v>1</v>
      </c>
      <c r="R61" s="263">
        <f t="shared" ref="R61:R66" si="40">IF(B61=SMALL(B$61:B$66,1),B61,"")</f>
        <v>1</v>
      </c>
      <c r="S61" s="47" t="str">
        <f t="shared" si="39"/>
        <v/>
      </c>
      <c r="T61" s="263" t="str">
        <f t="shared" ref="T61:T66" si="41">IF(S61="","",IF(B61=SMALL(S$61:S$66,1),B61,""))</f>
        <v/>
      </c>
      <c r="U61" s="47">
        <f t="shared" si="16"/>
        <v>1</v>
      </c>
      <c r="V61" s="154">
        <v>5000</v>
      </c>
      <c r="W61" s="472">
        <f t="shared" si="17"/>
        <v>26546.52</v>
      </c>
    </row>
    <row r="62" spans="1:23" ht="17.100000000000001" customHeight="1">
      <c r="A62" s="111">
        <v>10500</v>
      </c>
      <c r="B62" s="121">
        <f>IF(C62="O","",RANK(W62,W$24:W$74,1)+COUNTIF($W$24:W62,W62)-1)</f>
        <v>3</v>
      </c>
      <c r="C62" s="480"/>
      <c r="D62" s="175" t="s">
        <v>110</v>
      </c>
      <c r="E62" s="185">
        <v>47000</v>
      </c>
      <c r="F62" s="129">
        <v>300</v>
      </c>
      <c r="G62" s="442" t="str">
        <f t="shared" si="29"/>
        <v>50(무료)</v>
      </c>
      <c r="H62" s="185">
        <v>500</v>
      </c>
      <c r="I62" s="6">
        <f t="shared" si="37"/>
        <v>10500</v>
      </c>
      <c r="J62" s="28">
        <f t="shared" si="30"/>
        <v>26097.5</v>
      </c>
      <c r="K62" s="103">
        <f t="shared" si="31"/>
        <v>70.2</v>
      </c>
      <c r="L62" s="85">
        <f t="shared" si="32"/>
        <v>1963</v>
      </c>
      <c r="M62" s="58">
        <f t="shared" si="13"/>
        <v>28334.02</v>
      </c>
      <c r="N62" s="31" t="str">
        <f t="shared" si="33"/>
        <v>데이터(2.5GB) 부족</v>
      </c>
      <c r="O62" s="772"/>
      <c r="P62" s="261">
        <f t="shared" si="34"/>
        <v>2500</v>
      </c>
      <c r="Q62" s="152">
        <f t="shared" si="38"/>
        <v>3</v>
      </c>
      <c r="R62" s="263" t="str">
        <f t="shared" si="40"/>
        <v/>
      </c>
      <c r="S62" s="47" t="str">
        <f t="shared" si="39"/>
        <v/>
      </c>
      <c r="T62" s="263" t="str">
        <f t="shared" si="41"/>
        <v/>
      </c>
      <c r="U62" s="47">
        <f t="shared" si="16"/>
        <v>3</v>
      </c>
      <c r="V62" s="154">
        <v>5000</v>
      </c>
      <c r="W62" s="472">
        <f t="shared" si="17"/>
        <v>28334.02</v>
      </c>
    </row>
    <row r="63" spans="1:23" ht="17.100000000000001" customHeight="1">
      <c r="A63" s="111">
        <v>10500</v>
      </c>
      <c r="B63" s="121">
        <f>IF(C63="O","",RANK(W63,W$24:W$74,1)+COUNTIF($W$24:W63,W63)-1)</f>
        <v>8</v>
      </c>
      <c r="C63" s="480"/>
      <c r="D63" s="175" t="s">
        <v>110</v>
      </c>
      <c r="E63" s="185">
        <v>49500</v>
      </c>
      <c r="F63" s="129">
        <v>300</v>
      </c>
      <c r="G63" s="442" t="str">
        <f t="shared" si="29"/>
        <v>50(무료)</v>
      </c>
      <c r="H63" s="185">
        <v>1000</v>
      </c>
      <c r="I63" s="6">
        <f t="shared" si="37"/>
        <v>10500</v>
      </c>
      <c r="J63" s="28">
        <f t="shared" si="30"/>
        <v>27885</v>
      </c>
      <c r="K63" s="103">
        <f t="shared" si="31"/>
        <v>70.2</v>
      </c>
      <c r="L63" s="85">
        <f t="shared" si="32"/>
        <v>1963</v>
      </c>
      <c r="M63" s="58">
        <f t="shared" si="13"/>
        <v>30121.52</v>
      </c>
      <c r="N63" s="31" t="str">
        <f t="shared" si="33"/>
        <v>데이터(2GB) 부족</v>
      </c>
      <c r="O63" s="772"/>
      <c r="P63" s="261">
        <f t="shared" si="34"/>
        <v>2000</v>
      </c>
      <c r="Q63" s="152">
        <f t="shared" si="38"/>
        <v>8</v>
      </c>
      <c r="R63" s="263" t="str">
        <f t="shared" si="40"/>
        <v/>
      </c>
      <c r="S63" s="47" t="str">
        <f t="shared" si="39"/>
        <v/>
      </c>
      <c r="T63" s="263" t="str">
        <f t="shared" si="41"/>
        <v/>
      </c>
      <c r="U63" s="47">
        <f t="shared" si="16"/>
        <v>8</v>
      </c>
      <c r="V63" s="154">
        <v>5000</v>
      </c>
      <c r="W63" s="472">
        <f t="shared" si="17"/>
        <v>30121.52</v>
      </c>
    </row>
    <row r="64" spans="1:23" ht="17.100000000000001" customHeight="1">
      <c r="A64" s="112">
        <v>13500</v>
      </c>
      <c r="B64" s="121">
        <f>IF(C64="O","",RANK(W64,W$24:W$74,1)+COUNTIF($W$24:W64,W64)-1)</f>
        <v>19</v>
      </c>
      <c r="C64" s="485"/>
      <c r="D64" s="175" t="s">
        <v>110</v>
      </c>
      <c r="E64" s="185">
        <v>54500</v>
      </c>
      <c r="F64" s="129">
        <v>300</v>
      </c>
      <c r="G64" s="442" t="str">
        <f t="shared" si="29"/>
        <v>50(무료)</v>
      </c>
      <c r="H64" s="185">
        <v>2000</v>
      </c>
      <c r="I64" s="6">
        <f t="shared" si="37"/>
        <v>13500</v>
      </c>
      <c r="J64" s="28">
        <f t="shared" si="30"/>
        <v>29315.000000000007</v>
      </c>
      <c r="K64" s="103">
        <f t="shared" si="31"/>
        <v>70.2</v>
      </c>
      <c r="L64" s="85">
        <f t="shared" si="32"/>
        <v>1963</v>
      </c>
      <c r="M64" s="58">
        <f t="shared" si="13"/>
        <v>31551.520000000008</v>
      </c>
      <c r="N64" s="31" t="str">
        <f t="shared" si="33"/>
        <v>데이터(1GB) 부족</v>
      </c>
      <c r="O64" s="772"/>
      <c r="P64" s="261">
        <f t="shared" si="34"/>
        <v>1000</v>
      </c>
      <c r="Q64" s="152">
        <f t="shared" si="38"/>
        <v>19</v>
      </c>
      <c r="R64" s="263" t="str">
        <f t="shared" si="40"/>
        <v/>
      </c>
      <c r="S64" s="47" t="str">
        <f t="shared" si="39"/>
        <v/>
      </c>
      <c r="T64" s="263" t="str">
        <f t="shared" si="41"/>
        <v/>
      </c>
      <c r="U64" s="47">
        <f t="shared" si="16"/>
        <v>19</v>
      </c>
      <c r="V64" s="154">
        <v>5000</v>
      </c>
      <c r="W64" s="472">
        <f t="shared" si="17"/>
        <v>31551.520000000008</v>
      </c>
    </row>
    <row r="65" spans="1:23" ht="17.100000000000001" customHeight="1">
      <c r="A65" s="147">
        <v>13500</v>
      </c>
      <c r="B65" s="121">
        <f>IF(C65="O","",RANK(W65,W$24:W$74,1)+COUNTIF($W$24:W65,W65)-1)</f>
        <v>21</v>
      </c>
      <c r="C65" s="486"/>
      <c r="D65" s="175" t="s">
        <v>110</v>
      </c>
      <c r="E65" s="185">
        <v>56500</v>
      </c>
      <c r="F65" s="129">
        <v>300</v>
      </c>
      <c r="G65" s="442" t="str">
        <f t="shared" si="29"/>
        <v>50(무료)</v>
      </c>
      <c r="H65" s="185">
        <v>3500</v>
      </c>
      <c r="I65" s="6">
        <f t="shared" si="37"/>
        <v>13500</v>
      </c>
      <c r="J65" s="28">
        <f t="shared" si="30"/>
        <v>30745.000000000007</v>
      </c>
      <c r="K65" s="84">
        <f t="shared" si="31"/>
        <v>70.2</v>
      </c>
      <c r="L65" s="85">
        <f t="shared" si="32"/>
        <v>1963</v>
      </c>
      <c r="M65" s="58">
        <f t="shared" si="13"/>
        <v>32981.520000000004</v>
      </c>
      <c r="N65" s="31" t="str">
        <f t="shared" si="33"/>
        <v/>
      </c>
      <c r="O65" s="772"/>
      <c r="P65" s="261">
        <f t="shared" si="34"/>
        <v>-500</v>
      </c>
      <c r="Q65" s="152">
        <f t="shared" si="38"/>
        <v>21</v>
      </c>
      <c r="R65" s="263" t="str">
        <f t="shared" si="40"/>
        <v/>
      </c>
      <c r="S65" s="47">
        <f t="shared" si="39"/>
        <v>21</v>
      </c>
      <c r="T65" s="263">
        <f t="shared" si="41"/>
        <v>21</v>
      </c>
      <c r="U65" s="47">
        <f t="shared" si="16"/>
        <v>21</v>
      </c>
      <c r="V65" s="154">
        <v>5000</v>
      </c>
      <c r="W65" s="472">
        <f t="shared" si="17"/>
        <v>32981.520000000004</v>
      </c>
    </row>
    <row r="66" spans="1:23" ht="17.100000000000001" customHeight="1" thickBot="1">
      <c r="A66" s="147">
        <v>18000</v>
      </c>
      <c r="B66" s="121">
        <f>IF(C66="O","",RANK(W66,W$24:W$74,1)+COUNTIF($W$24:W66,W66)-1)</f>
        <v>30</v>
      </c>
      <c r="C66" s="487"/>
      <c r="D66" s="175" t="s">
        <v>110</v>
      </c>
      <c r="E66" s="186">
        <v>68000</v>
      </c>
      <c r="F66" s="129">
        <v>300</v>
      </c>
      <c r="G66" s="443" t="str">
        <f t="shared" si="29"/>
        <v>50(무료)</v>
      </c>
      <c r="H66" s="186">
        <v>7000</v>
      </c>
      <c r="I66" s="8">
        <f t="shared" si="37"/>
        <v>18000</v>
      </c>
      <c r="J66" s="29">
        <f t="shared" si="30"/>
        <v>35750.000000000007</v>
      </c>
      <c r="K66" s="86">
        <f t="shared" si="31"/>
        <v>70.2</v>
      </c>
      <c r="L66" s="87">
        <f t="shared" si="32"/>
        <v>1963</v>
      </c>
      <c r="M66" s="59">
        <f t="shared" si="13"/>
        <v>37986.520000000004</v>
      </c>
      <c r="N66" s="32" t="str">
        <f t="shared" si="33"/>
        <v/>
      </c>
      <c r="O66" s="773"/>
      <c r="P66" s="261">
        <f t="shared" si="34"/>
        <v>-4000</v>
      </c>
      <c r="Q66" s="152">
        <f t="shared" si="38"/>
        <v>30</v>
      </c>
      <c r="R66" s="263" t="str">
        <f t="shared" si="40"/>
        <v/>
      </c>
      <c r="S66" s="47">
        <f t="shared" si="39"/>
        <v>30</v>
      </c>
      <c r="T66" s="263" t="str">
        <f t="shared" si="41"/>
        <v/>
      </c>
      <c r="U66" s="47">
        <f t="shared" si="16"/>
        <v>30</v>
      </c>
      <c r="V66" s="154">
        <v>8000</v>
      </c>
      <c r="W66" s="472">
        <f t="shared" si="17"/>
        <v>37986.520000000004</v>
      </c>
    </row>
    <row r="67" spans="1:23" ht="17.100000000000001" customHeight="1">
      <c r="A67" s="111">
        <v>13500</v>
      </c>
      <c r="B67" s="121">
        <f>IF(C67="O","",RANK(W67,W$24:W$74,1)+COUNTIF($W$24:W67,W67)-1)</f>
        <v>18</v>
      </c>
      <c r="C67" s="482"/>
      <c r="D67" s="269" t="s">
        <v>111</v>
      </c>
      <c r="E67" s="183">
        <v>54500</v>
      </c>
      <c r="F67" s="125">
        <v>400</v>
      </c>
      <c r="G67" s="441" t="str">
        <f t="shared" si="29"/>
        <v>50(무료)</v>
      </c>
      <c r="H67" s="183">
        <v>250</v>
      </c>
      <c r="I67" s="16">
        <f t="shared" si="37"/>
        <v>13500</v>
      </c>
      <c r="J67" s="27">
        <f t="shared" si="30"/>
        <v>29315.000000000007</v>
      </c>
      <c r="K67" s="89">
        <f t="shared" si="31"/>
        <v>0</v>
      </c>
      <c r="L67" s="83">
        <f t="shared" si="32"/>
        <v>1963</v>
      </c>
      <c r="M67" s="33">
        <f t="shared" si="13"/>
        <v>31474.300000000007</v>
      </c>
      <c r="N67" s="30" t="str">
        <f t="shared" si="33"/>
        <v>데이터(2.75GB) 부족</v>
      </c>
      <c r="O67" s="771" t="s">
        <v>115</v>
      </c>
      <c r="P67" s="261">
        <f t="shared" si="34"/>
        <v>2750</v>
      </c>
      <c r="Q67" s="152">
        <f t="shared" si="38"/>
        <v>18</v>
      </c>
      <c r="R67" s="263">
        <f t="shared" ref="R67:R72" si="42">IF(B67=SMALL(B$67:B$72,1),B67,"")</f>
        <v>18</v>
      </c>
      <c r="S67" s="47" t="str">
        <f t="shared" si="39"/>
        <v/>
      </c>
      <c r="T67" s="263" t="str">
        <f t="shared" ref="T67:T72" si="43">IF(S67="","",IF(B67=SMALL(S$67:S$72,1),B67,""))</f>
        <v/>
      </c>
      <c r="U67" s="47">
        <f t="shared" si="16"/>
        <v>18</v>
      </c>
      <c r="V67" s="154">
        <v>5000</v>
      </c>
      <c r="W67" s="472">
        <f t="shared" si="17"/>
        <v>31474.300000000007</v>
      </c>
    </row>
    <row r="68" spans="1:23" ht="17.100000000000001" customHeight="1">
      <c r="A68" s="111">
        <v>13500</v>
      </c>
      <c r="B68" s="121">
        <f>IF(C68="O","",RANK(W68,W$24:W$74,1)+COUNTIF($W$24:W68,W68)-1)</f>
        <v>20</v>
      </c>
      <c r="C68" s="480"/>
      <c r="D68" s="175" t="s">
        <v>111</v>
      </c>
      <c r="E68" s="185">
        <v>56000</v>
      </c>
      <c r="F68" s="129">
        <v>400</v>
      </c>
      <c r="G68" s="442" t="str">
        <f t="shared" si="29"/>
        <v>50(무료)</v>
      </c>
      <c r="H68" s="185">
        <v>500</v>
      </c>
      <c r="I68" s="6">
        <f t="shared" si="37"/>
        <v>13500</v>
      </c>
      <c r="J68" s="28">
        <f t="shared" si="30"/>
        <v>30387.500000000007</v>
      </c>
      <c r="K68" s="103">
        <f t="shared" si="31"/>
        <v>0</v>
      </c>
      <c r="L68" s="85">
        <f t="shared" si="32"/>
        <v>1963</v>
      </c>
      <c r="M68" s="58">
        <f t="shared" si="13"/>
        <v>32546.800000000007</v>
      </c>
      <c r="N68" s="31" t="str">
        <f t="shared" si="33"/>
        <v>데이터(2.5GB) 부족</v>
      </c>
      <c r="O68" s="772"/>
      <c r="P68" s="261">
        <f t="shared" si="34"/>
        <v>2500</v>
      </c>
      <c r="Q68" s="152">
        <f t="shared" si="38"/>
        <v>20</v>
      </c>
      <c r="R68" s="263" t="str">
        <f t="shared" si="42"/>
        <v/>
      </c>
      <c r="S68" s="47" t="str">
        <f t="shared" si="39"/>
        <v/>
      </c>
      <c r="T68" s="263" t="str">
        <f t="shared" si="43"/>
        <v/>
      </c>
      <c r="U68" s="47">
        <f t="shared" si="16"/>
        <v>20</v>
      </c>
      <c r="V68" s="154">
        <v>5000</v>
      </c>
      <c r="W68" s="472">
        <f t="shared" si="17"/>
        <v>32546.800000000007</v>
      </c>
    </row>
    <row r="69" spans="1:23" ht="17.100000000000001" customHeight="1">
      <c r="A69" s="111">
        <v>13500</v>
      </c>
      <c r="B69" s="121">
        <f>IF(C69="O","",RANK(W69,W$24:W$74,1)+COUNTIF($W$24:W69,W69)-1)</f>
        <v>23</v>
      </c>
      <c r="C69" s="480"/>
      <c r="D69" s="175" t="s">
        <v>111</v>
      </c>
      <c r="E69" s="185">
        <v>58500</v>
      </c>
      <c r="F69" s="129">
        <v>400</v>
      </c>
      <c r="G69" s="442" t="str">
        <f t="shared" si="29"/>
        <v>50(무료)</v>
      </c>
      <c r="H69" s="185">
        <v>1000</v>
      </c>
      <c r="I69" s="6">
        <f t="shared" si="37"/>
        <v>13500</v>
      </c>
      <c r="J69" s="28">
        <f t="shared" si="30"/>
        <v>32175.000000000007</v>
      </c>
      <c r="K69" s="103">
        <f t="shared" si="31"/>
        <v>0</v>
      </c>
      <c r="L69" s="85">
        <f t="shared" si="32"/>
        <v>1963</v>
      </c>
      <c r="M69" s="58">
        <f t="shared" si="13"/>
        <v>34334.30000000001</v>
      </c>
      <c r="N69" s="31" t="str">
        <f t="shared" si="33"/>
        <v>데이터(2GB) 부족</v>
      </c>
      <c r="O69" s="772"/>
      <c r="P69" s="261">
        <f t="shared" si="34"/>
        <v>2000</v>
      </c>
      <c r="Q69" s="152">
        <f t="shared" si="38"/>
        <v>23</v>
      </c>
      <c r="R69" s="263" t="str">
        <f t="shared" si="42"/>
        <v/>
      </c>
      <c r="S69" s="47" t="str">
        <f t="shared" si="39"/>
        <v/>
      </c>
      <c r="T69" s="263" t="str">
        <f t="shared" si="43"/>
        <v/>
      </c>
      <c r="U69" s="47">
        <f t="shared" si="16"/>
        <v>23</v>
      </c>
      <c r="V69" s="154">
        <v>5000</v>
      </c>
      <c r="W69" s="472">
        <f t="shared" si="17"/>
        <v>34334.30000000001</v>
      </c>
    </row>
    <row r="70" spans="1:23" ht="17.100000000000001" customHeight="1">
      <c r="A70" s="112">
        <v>13500</v>
      </c>
      <c r="B70" s="121">
        <f>IF(C70="O","",RANK(W70,W$24:W$74,1)+COUNTIF($W$24:W70,W70)-1)</f>
        <v>27</v>
      </c>
      <c r="C70" s="485"/>
      <c r="D70" s="175" t="s">
        <v>111</v>
      </c>
      <c r="E70" s="185">
        <v>61500</v>
      </c>
      <c r="F70" s="129">
        <v>400</v>
      </c>
      <c r="G70" s="442" t="str">
        <f t="shared" si="29"/>
        <v>50(무료)</v>
      </c>
      <c r="H70" s="185">
        <v>2000</v>
      </c>
      <c r="I70" s="6">
        <f t="shared" si="37"/>
        <v>13500</v>
      </c>
      <c r="J70" s="28">
        <f t="shared" si="30"/>
        <v>34320.000000000007</v>
      </c>
      <c r="K70" s="103">
        <f t="shared" si="31"/>
        <v>0</v>
      </c>
      <c r="L70" s="85">
        <f t="shared" si="32"/>
        <v>1963</v>
      </c>
      <c r="M70" s="58">
        <f t="shared" si="13"/>
        <v>36479.30000000001</v>
      </c>
      <c r="N70" s="31" t="str">
        <f t="shared" si="33"/>
        <v>데이터(1GB) 부족</v>
      </c>
      <c r="O70" s="772"/>
      <c r="P70" s="261">
        <f t="shared" si="34"/>
        <v>1000</v>
      </c>
      <c r="Q70" s="152">
        <f t="shared" si="38"/>
        <v>27</v>
      </c>
      <c r="R70" s="263" t="str">
        <f t="shared" si="42"/>
        <v/>
      </c>
      <c r="S70" s="47" t="str">
        <f t="shared" si="39"/>
        <v/>
      </c>
      <c r="T70" s="263" t="str">
        <f t="shared" si="43"/>
        <v/>
      </c>
      <c r="U70" s="47">
        <f t="shared" si="16"/>
        <v>27</v>
      </c>
      <c r="V70" s="154">
        <v>5000</v>
      </c>
      <c r="W70" s="472">
        <f t="shared" si="17"/>
        <v>36479.30000000001</v>
      </c>
    </row>
    <row r="71" spans="1:23" ht="17.100000000000001" customHeight="1">
      <c r="A71" s="147">
        <v>18000</v>
      </c>
      <c r="B71" s="121">
        <f>IF(C71="O","",RANK(W71,W$24:W$74,1)+COUNTIF($W$24:W71,W71)-1)</f>
        <v>29</v>
      </c>
      <c r="C71" s="486"/>
      <c r="D71" s="175" t="s">
        <v>111</v>
      </c>
      <c r="E71" s="185">
        <v>67000</v>
      </c>
      <c r="F71" s="129">
        <v>400</v>
      </c>
      <c r="G71" s="442" t="str">
        <f t="shared" si="29"/>
        <v>50(무료)</v>
      </c>
      <c r="H71" s="185">
        <v>3500</v>
      </c>
      <c r="I71" s="6">
        <f t="shared" si="37"/>
        <v>18000</v>
      </c>
      <c r="J71" s="28">
        <f t="shared" si="30"/>
        <v>35035.000000000007</v>
      </c>
      <c r="K71" s="84">
        <f t="shared" si="31"/>
        <v>0</v>
      </c>
      <c r="L71" s="85">
        <f t="shared" si="32"/>
        <v>1963</v>
      </c>
      <c r="M71" s="58">
        <f t="shared" si="13"/>
        <v>37194.30000000001</v>
      </c>
      <c r="N71" s="31" t="str">
        <f t="shared" si="33"/>
        <v/>
      </c>
      <c r="O71" s="772"/>
      <c r="P71" s="261">
        <f t="shared" si="34"/>
        <v>-500</v>
      </c>
      <c r="Q71" s="152">
        <f t="shared" si="38"/>
        <v>29</v>
      </c>
      <c r="R71" s="263" t="str">
        <f t="shared" si="42"/>
        <v/>
      </c>
      <c r="S71" s="47">
        <f t="shared" si="39"/>
        <v>29</v>
      </c>
      <c r="T71" s="263">
        <f t="shared" si="43"/>
        <v>29</v>
      </c>
      <c r="U71" s="47">
        <f t="shared" si="16"/>
        <v>29</v>
      </c>
      <c r="V71" s="154">
        <v>8000</v>
      </c>
      <c r="W71" s="472">
        <f t="shared" si="17"/>
        <v>37194.30000000001</v>
      </c>
    </row>
    <row r="72" spans="1:23" ht="17.100000000000001" customHeight="1" thickBot="1">
      <c r="A72" s="147">
        <v>18000</v>
      </c>
      <c r="B72" s="121">
        <f>IF(C72="O","",RANK(W72,W$24:W$74,1)+COUNTIF($W$24:W72,W72)-1)</f>
        <v>32</v>
      </c>
      <c r="C72" s="488"/>
      <c r="D72" s="177" t="s">
        <v>111</v>
      </c>
      <c r="E72" s="186">
        <v>69500</v>
      </c>
      <c r="F72" s="132">
        <v>400</v>
      </c>
      <c r="G72" s="443" t="str">
        <f t="shared" si="29"/>
        <v>50(무료)</v>
      </c>
      <c r="H72" s="186">
        <v>7000</v>
      </c>
      <c r="I72" s="8">
        <f t="shared" si="37"/>
        <v>18000</v>
      </c>
      <c r="J72" s="29">
        <f t="shared" si="30"/>
        <v>36822.500000000007</v>
      </c>
      <c r="K72" s="86">
        <f t="shared" si="31"/>
        <v>0</v>
      </c>
      <c r="L72" s="87">
        <f t="shared" si="32"/>
        <v>1963</v>
      </c>
      <c r="M72" s="59">
        <f t="shared" si="13"/>
        <v>38981.80000000001</v>
      </c>
      <c r="N72" s="32" t="str">
        <f t="shared" si="33"/>
        <v/>
      </c>
      <c r="O72" s="773"/>
      <c r="P72" s="261">
        <f t="shared" si="34"/>
        <v>-4000</v>
      </c>
      <c r="Q72" s="152">
        <f t="shared" si="38"/>
        <v>32</v>
      </c>
      <c r="R72" s="263" t="str">
        <f t="shared" si="42"/>
        <v/>
      </c>
      <c r="S72" s="47">
        <f t="shared" si="39"/>
        <v>32</v>
      </c>
      <c r="T72" s="263" t="str">
        <f t="shared" si="43"/>
        <v/>
      </c>
      <c r="U72" s="47">
        <f t="shared" si="16"/>
        <v>32</v>
      </c>
      <c r="V72" s="154">
        <v>8000</v>
      </c>
      <c r="W72" s="472">
        <f t="shared" si="17"/>
        <v>38981.80000000001</v>
      </c>
    </row>
    <row r="73" spans="1:23" s="108" customFormat="1" ht="20.100000000000001" customHeight="1">
      <c r="A73" s="147">
        <v>18000</v>
      </c>
      <c r="B73" s="121">
        <f>IF(C73="O","",RANK(W73,W$24:W$74,1)+COUNTIF($W$24:W73,W73)-1)</f>
        <v>37</v>
      </c>
      <c r="C73" s="489"/>
      <c r="D73" s="269" t="s">
        <v>208</v>
      </c>
      <c r="E73" s="183">
        <v>80000</v>
      </c>
      <c r="F73" s="165" t="s">
        <v>79</v>
      </c>
      <c r="G73" s="173" t="s">
        <v>84</v>
      </c>
      <c r="H73" s="252" t="s">
        <v>15</v>
      </c>
      <c r="I73" s="16">
        <f t="shared" si="37"/>
        <v>18000</v>
      </c>
      <c r="J73" s="27">
        <f t="shared" ref="J73:J74" si="44">IF($N$10="X",(E73-I73)*1.1,(E73-I73)*1.1*0.65)</f>
        <v>44330</v>
      </c>
      <c r="K73" s="82">
        <f t="shared" ref="K73:K74" si="45">IF(F$8&lt;F73,0,((F$8-F73)*60*1.8))*IF($N$10="O",0.65,1)</f>
        <v>0</v>
      </c>
      <c r="L73" s="83">
        <f t="shared" ref="L73:L74" si="46">IF($F$10&lt;$G73,0,($F$10-G73)*20)*IF($N$10="O",0.65,1)</f>
        <v>0</v>
      </c>
      <c r="M73" s="33">
        <f t="shared" ref="M73:M74" si="47">J73+(K73+L73)*1.1</f>
        <v>44330</v>
      </c>
      <c r="N73" s="30" t="str">
        <f t="shared" ref="N73:N74" si="48">IF(H73="무제한","",IF(($F$11-H73)&gt;0,"데이터("&amp;P73/1000&amp;"GB) 부족",""))</f>
        <v/>
      </c>
      <c r="O73" s="747" t="s">
        <v>210</v>
      </c>
      <c r="P73" s="108">
        <v>1</v>
      </c>
      <c r="Q73" s="152">
        <f t="shared" si="38"/>
        <v>37</v>
      </c>
      <c r="R73" s="47">
        <f>B73</f>
        <v>37</v>
      </c>
      <c r="S73" s="47">
        <f t="shared" si="39"/>
        <v>37</v>
      </c>
      <c r="T73" s="47">
        <f t="shared" ref="T73:T74" si="49">S73</f>
        <v>37</v>
      </c>
      <c r="U73" s="47">
        <f t="shared" si="16"/>
        <v>37</v>
      </c>
      <c r="V73" s="154">
        <v>8000</v>
      </c>
      <c r="W73" s="472">
        <f t="shared" si="17"/>
        <v>44330</v>
      </c>
    </row>
    <row r="74" spans="1:23" s="108" customFormat="1" ht="20.100000000000001" customHeight="1" thickBot="1">
      <c r="A74" s="147">
        <v>18000</v>
      </c>
      <c r="B74" s="121">
        <f>IF(C74="O","",RANK(W74,W$24:W$74,1)+COUNTIF($W$24:W74,W74)-1)</f>
        <v>41</v>
      </c>
      <c r="C74" s="488"/>
      <c r="D74" s="177" t="s">
        <v>209</v>
      </c>
      <c r="E74" s="186">
        <v>85000</v>
      </c>
      <c r="F74" s="432" t="s">
        <v>79</v>
      </c>
      <c r="G74" s="251" t="s">
        <v>84</v>
      </c>
      <c r="H74" s="253" t="s">
        <v>15</v>
      </c>
      <c r="I74" s="8">
        <f t="shared" si="37"/>
        <v>18000</v>
      </c>
      <c r="J74" s="255">
        <f t="shared" si="44"/>
        <v>47905</v>
      </c>
      <c r="K74" s="86">
        <f t="shared" si="45"/>
        <v>0</v>
      </c>
      <c r="L74" s="87">
        <f t="shared" si="46"/>
        <v>0</v>
      </c>
      <c r="M74" s="59">
        <f t="shared" si="47"/>
        <v>47905</v>
      </c>
      <c r="N74" s="32" t="str">
        <f t="shared" si="48"/>
        <v/>
      </c>
      <c r="O74" s="748"/>
      <c r="P74" s="108">
        <v>1</v>
      </c>
      <c r="Q74" s="152">
        <f t="shared" si="38"/>
        <v>41</v>
      </c>
      <c r="R74" s="47">
        <f>B74</f>
        <v>41</v>
      </c>
      <c r="S74" s="47">
        <f t="shared" si="39"/>
        <v>41</v>
      </c>
      <c r="T74" s="47">
        <f t="shared" si="49"/>
        <v>41</v>
      </c>
      <c r="U74" s="47">
        <f t="shared" si="16"/>
        <v>41</v>
      </c>
      <c r="V74" s="154">
        <v>8000</v>
      </c>
      <c r="W74" s="472">
        <f t="shared" si="17"/>
        <v>47905</v>
      </c>
    </row>
    <row r="75" spans="1:23" s="108" customFormat="1" ht="17.100000000000001" customHeight="1">
      <c r="A75" s="106"/>
      <c r="B75" s="106"/>
      <c r="C75" s="41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254"/>
      <c r="Q75" s="107"/>
      <c r="R75" s="107"/>
      <c r="S75" s="107"/>
      <c r="T75" s="107"/>
      <c r="U75" s="107"/>
      <c r="V75" s="106"/>
      <c r="W75" s="473"/>
    </row>
    <row r="76" spans="1:23" s="108" customFormat="1" ht="17.100000000000001" customHeight="1">
      <c r="A76" s="106"/>
      <c r="B76" s="106"/>
      <c r="C76" s="41"/>
      <c r="D76" s="179" t="s">
        <v>116</v>
      </c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Q76" s="107"/>
      <c r="R76" s="107"/>
      <c r="S76" s="107"/>
      <c r="T76" s="107"/>
      <c r="U76" s="107"/>
      <c r="V76" s="106"/>
      <c r="W76" s="473"/>
    </row>
    <row r="77" spans="1:23" s="108" customFormat="1" ht="17.100000000000001" customHeight="1">
      <c r="A77" s="106"/>
      <c r="B77" s="106"/>
      <c r="C77" s="41"/>
      <c r="D77" s="179" t="s">
        <v>184</v>
      </c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Q77" s="107"/>
      <c r="R77" s="107"/>
      <c r="S77" s="107"/>
      <c r="T77" s="107"/>
      <c r="U77" s="107"/>
      <c r="V77" s="106"/>
      <c r="W77" s="473"/>
    </row>
    <row r="78" spans="1:23" s="108" customFormat="1" ht="17.100000000000001" customHeight="1">
      <c r="A78" s="106"/>
      <c r="B78" s="106"/>
      <c r="C78" s="41"/>
      <c r="D78" s="248" t="s">
        <v>188</v>
      </c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Q78" s="107"/>
      <c r="R78" s="107"/>
      <c r="S78" s="107"/>
      <c r="T78" s="107"/>
      <c r="U78" s="107"/>
      <c r="V78" s="106"/>
      <c r="W78" s="473"/>
    </row>
    <row r="79" spans="1:23" s="108" customFormat="1" ht="17.100000000000001" customHeight="1">
      <c r="A79" s="106"/>
      <c r="B79" s="106"/>
      <c r="C79" s="41"/>
      <c r="D79" s="179" t="s">
        <v>186</v>
      </c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Q79" s="107"/>
      <c r="R79" s="107"/>
      <c r="S79" s="107"/>
      <c r="T79" s="107"/>
      <c r="U79" s="107"/>
      <c r="V79" s="106"/>
      <c r="W79" s="473"/>
    </row>
    <row r="80" spans="1:23" s="106" customFormat="1" ht="17.100000000000001" customHeight="1">
      <c r="C80" s="41"/>
      <c r="D80" s="179" t="s">
        <v>187</v>
      </c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108"/>
      <c r="Q80" s="107"/>
      <c r="R80" s="107"/>
      <c r="S80" s="107"/>
      <c r="T80" s="107"/>
      <c r="U80" s="107"/>
      <c r="W80" s="473"/>
    </row>
    <row r="81" spans="1:24" s="106" customFormat="1" ht="17.100000000000001" customHeight="1">
      <c r="C81" s="41"/>
      <c r="D81" s="41" t="s">
        <v>190</v>
      </c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108"/>
      <c r="Q81" s="107"/>
      <c r="R81" s="107"/>
      <c r="S81" s="107"/>
      <c r="T81" s="107"/>
      <c r="U81" s="107"/>
      <c r="W81" s="473"/>
    </row>
    <row r="82" spans="1:24" s="106" customFormat="1" ht="17.100000000000001" customHeight="1">
      <c r="C82" s="41"/>
      <c r="D82" s="179" t="s">
        <v>189</v>
      </c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108"/>
      <c r="Q82" s="107"/>
      <c r="R82" s="107"/>
      <c r="S82" s="107"/>
      <c r="T82" s="107"/>
      <c r="U82" s="107"/>
      <c r="W82" s="473"/>
    </row>
    <row r="83" spans="1:24" s="106" customFormat="1" ht="17.100000000000001" customHeight="1">
      <c r="C83" s="41"/>
      <c r="D83" s="71" t="s">
        <v>191</v>
      </c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108"/>
      <c r="Q83" s="107"/>
      <c r="R83" s="107"/>
      <c r="S83" s="107"/>
      <c r="T83" s="107"/>
      <c r="U83" s="107"/>
      <c r="W83" s="473"/>
    </row>
    <row r="84" spans="1:24" s="106" customFormat="1" ht="17.100000000000001" customHeight="1">
      <c r="C84" s="41"/>
      <c r="D84" s="249" t="s">
        <v>192</v>
      </c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108"/>
      <c r="Q84" s="107"/>
      <c r="R84" s="107"/>
      <c r="S84" s="107"/>
      <c r="T84" s="107"/>
      <c r="U84" s="107"/>
      <c r="W84" s="473"/>
    </row>
    <row r="85" spans="1:24" s="106" customFormat="1" ht="17.100000000000001" customHeight="1">
      <c r="C85" s="41"/>
      <c r="D85" s="41" t="s">
        <v>215</v>
      </c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108"/>
      <c r="Q85" s="107"/>
      <c r="R85" s="107"/>
      <c r="S85" s="107"/>
      <c r="T85" s="107"/>
      <c r="U85" s="107"/>
      <c r="W85" s="473"/>
    </row>
    <row r="86" spans="1:24" s="41" customFormat="1" ht="17.100000000000001" customHeight="1">
      <c r="A86" s="106"/>
      <c r="B86" s="106"/>
      <c r="D86" s="264" t="s">
        <v>216</v>
      </c>
      <c r="E86" s="264"/>
      <c r="F86" s="264"/>
      <c r="G86" s="264"/>
      <c r="H86" s="264"/>
      <c r="I86" s="264"/>
      <c r="J86" s="264"/>
      <c r="K86" s="264"/>
      <c r="L86" s="264"/>
      <c r="M86" s="264"/>
      <c r="N86" s="264"/>
      <c r="O86" s="264"/>
      <c r="P86" s="108"/>
      <c r="Q86" s="107"/>
      <c r="R86" s="107"/>
      <c r="S86" s="107"/>
      <c r="T86" s="107"/>
      <c r="U86" s="107"/>
      <c r="V86" s="106"/>
      <c r="W86" s="473"/>
      <c r="X86" s="274"/>
    </row>
    <row r="87" spans="1:24" s="41" customFormat="1" ht="17.100000000000001" customHeight="1">
      <c r="A87" s="106"/>
      <c r="B87" s="106"/>
      <c r="D87" s="264" t="s">
        <v>217</v>
      </c>
      <c r="P87" s="108"/>
      <c r="Q87" s="107"/>
      <c r="R87" s="107"/>
      <c r="S87" s="107"/>
      <c r="T87" s="107"/>
      <c r="U87" s="107"/>
      <c r="V87" s="106"/>
      <c r="W87" s="473"/>
      <c r="X87" s="274"/>
    </row>
    <row r="88" spans="1:24" s="41" customFormat="1" ht="17.100000000000001" customHeight="1">
      <c r="A88" s="106"/>
      <c r="B88" s="106"/>
      <c r="P88" s="108"/>
      <c r="Q88" s="107"/>
      <c r="R88" s="107"/>
      <c r="S88" s="107"/>
      <c r="T88" s="107"/>
      <c r="U88" s="107"/>
      <c r="V88" s="106"/>
      <c r="W88" s="473"/>
      <c r="X88" s="274"/>
    </row>
    <row r="89" spans="1:24" s="41" customFormat="1" ht="17.100000000000001" customHeight="1">
      <c r="A89" s="106"/>
      <c r="B89" s="106"/>
      <c r="P89" s="108"/>
      <c r="Q89" s="107"/>
      <c r="R89" s="107"/>
      <c r="S89" s="107"/>
      <c r="T89" s="107"/>
      <c r="U89" s="107"/>
      <c r="V89" s="106"/>
      <c r="W89" s="473"/>
      <c r="X89" s="274"/>
    </row>
    <row r="90" spans="1:24" s="41" customFormat="1" ht="17.100000000000001" customHeight="1">
      <c r="A90" s="106"/>
      <c r="B90" s="106"/>
      <c r="P90" s="108"/>
      <c r="Q90" s="107"/>
      <c r="R90" s="107"/>
      <c r="S90" s="107"/>
      <c r="T90" s="107"/>
      <c r="U90" s="107"/>
      <c r="V90" s="106"/>
      <c r="W90" s="473"/>
      <c r="X90" s="274"/>
    </row>
    <row r="91" spans="1:24" s="41" customFormat="1" ht="17.100000000000001" customHeight="1">
      <c r="A91" s="106"/>
      <c r="B91" s="106"/>
      <c r="P91" s="108"/>
      <c r="Q91" s="107"/>
      <c r="R91" s="107"/>
      <c r="S91" s="107"/>
      <c r="T91" s="107"/>
      <c r="U91" s="107"/>
      <c r="V91" s="106"/>
      <c r="W91" s="473"/>
      <c r="X91" s="274"/>
    </row>
    <row r="92" spans="1:24" ht="17.100000000000001" customHeight="1"/>
    <row r="93" spans="1:24" ht="17.100000000000001" customHeight="1"/>
  </sheetData>
  <sheetProtection algorithmName="SHA-512" hashValue="AL62DNi1Q+1WC5sFULrQ5oAOBett0c4tJAAWae7UGelzPv/lnUMqMo8dUawmUENk+7pbztlIsJ/bNAR+afpGig==" saltValue="qMd7f0eSvDhE2BPJgDlPog==" spinCount="100000" sheet="1" objects="1" scenarios="1"/>
  <mergeCells count="49">
    <mergeCell ref="O49:O54"/>
    <mergeCell ref="O55:O60"/>
    <mergeCell ref="O61:O66"/>
    <mergeCell ref="O67:O72"/>
    <mergeCell ref="O32:O39"/>
    <mergeCell ref="O40:O42"/>
    <mergeCell ref="O43:O45"/>
    <mergeCell ref="O46:O48"/>
    <mergeCell ref="O24:O26"/>
    <mergeCell ref="O27:O31"/>
    <mergeCell ref="K14:K15"/>
    <mergeCell ref="L14:L15"/>
    <mergeCell ref="N14:N15"/>
    <mergeCell ref="O14:O15"/>
    <mergeCell ref="K22:K23"/>
    <mergeCell ref="L22:L23"/>
    <mergeCell ref="N22:N23"/>
    <mergeCell ref="O22:O23"/>
    <mergeCell ref="D22:D23"/>
    <mergeCell ref="E22:E23"/>
    <mergeCell ref="F22:F23"/>
    <mergeCell ref="G22:G23"/>
    <mergeCell ref="H22:H23"/>
    <mergeCell ref="C14:C15"/>
    <mergeCell ref="D14:D15"/>
    <mergeCell ref="E14:E15"/>
    <mergeCell ref="F14:F15"/>
    <mergeCell ref="G14:G15"/>
    <mergeCell ref="F11:G11"/>
    <mergeCell ref="K11:M11"/>
    <mergeCell ref="D12:E12"/>
    <mergeCell ref="F12:G12"/>
    <mergeCell ref="K12:M12"/>
    <mergeCell ref="C22:C23"/>
    <mergeCell ref="B3:O3"/>
    <mergeCell ref="O73:O74"/>
    <mergeCell ref="D7:G7"/>
    <mergeCell ref="K7:N7"/>
    <mergeCell ref="D8:E8"/>
    <mergeCell ref="F8:G8"/>
    <mergeCell ref="K8:M8"/>
    <mergeCell ref="D9:E9"/>
    <mergeCell ref="F9:G9"/>
    <mergeCell ref="K9:M9"/>
    <mergeCell ref="D10:E10"/>
    <mergeCell ref="F10:G10"/>
    <mergeCell ref="K10:M10"/>
    <mergeCell ref="H14:H15"/>
    <mergeCell ref="D11:E11"/>
  </mergeCells>
  <phoneticPr fontId="3" type="noConversion"/>
  <conditionalFormatting sqref="B24:B74">
    <cfRule type="cellIs" dxfId="32" priority="1" operator="lessThan">
      <formula>6</formula>
    </cfRule>
    <cfRule type="cellIs" dxfId="31" priority="190" operator="lessThan">
      <formula>11</formula>
    </cfRule>
    <cfRule type="cellIs" dxfId="30" priority="191" operator="lessThan">
      <formula>21</formula>
    </cfRule>
  </conditionalFormatting>
  <conditionalFormatting sqref="C16:C20">
    <cfRule type="cellIs" dxfId="29" priority="186" operator="lessThan">
      <formula>6</formula>
    </cfRule>
    <cfRule type="cellIs" dxfId="28" priority="187" operator="lessThan">
      <formula>11</formula>
    </cfRule>
    <cfRule type="cellIs" dxfId="27" priority="188" operator="lessThan">
      <formula>21</formula>
    </cfRule>
  </conditionalFormatting>
  <conditionalFormatting sqref="D24:N74">
    <cfRule type="expression" dxfId="26" priority="3">
      <formula>MOD(ROW(),2)=0</formula>
    </cfRule>
  </conditionalFormatting>
  <conditionalFormatting sqref="D24:D74">
    <cfRule type="expression" dxfId="25" priority="192">
      <formula>$C24="O"</formula>
    </cfRule>
  </conditionalFormatting>
  <dataValidations disablePrompts="1" count="4">
    <dataValidation type="decimal" operator="greaterThanOrEqual" allowBlank="1" showInputMessage="1" showErrorMessage="1" sqref="F10:G11 F8:G8">
      <formula1>0</formula1>
    </dataValidation>
    <dataValidation type="decimal" allowBlank="1" showInputMessage="1" showErrorMessage="1" sqref="F9:G9">
      <formula1>0</formula1>
      <formula2>100</formula2>
    </dataValidation>
    <dataValidation type="list" allowBlank="1" showInputMessage="1" showErrorMessage="1" sqref="N8 N10:N12 C24:C74">
      <formula1>"O,X"</formula1>
    </dataValidation>
    <dataValidation type="list" allowBlank="1" showInputMessage="1" showErrorMessage="1" prompt="LTE 맞춤형요금제에 한해서 부가서비스로의 문자개수를 선택 하십시요. (무료문자50건)_x000a__x000a_문자개수100, 200, 500,700,1000 개에 대해서 각각 1500, 3000, 6000, 8000,10000 원의 부가요금이 청구됩니다." sqref="F12:G12">
      <formula1>"0,100,200,500,700,1000"</formula1>
    </dataValidation>
  </dataValidations>
  <pageMargins left="0.7" right="0.7" top="0.75" bottom="0.75" header="0.3" footer="0.3"/>
  <pageSetup paperSize="9" orientation="portrait" horizontalDpi="4294967292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O49"/>
  <sheetViews>
    <sheetView tabSelected="1" workbookViewId="0">
      <selection activeCell="B6" sqref="B6:C6"/>
    </sheetView>
  </sheetViews>
  <sheetFormatPr defaultRowHeight="16.5"/>
  <cols>
    <col min="1" max="1" width="1.375" style="41" customWidth="1"/>
    <col min="2" max="2" width="9" style="42"/>
    <col min="3" max="3" width="23.25" style="42" customWidth="1"/>
    <col min="4" max="4" width="9" style="42"/>
    <col min="5" max="5" width="10.375" style="42" customWidth="1"/>
    <col min="6" max="6" width="7" style="42" customWidth="1"/>
    <col min="7" max="7" width="9" style="42"/>
    <col min="8" max="8" width="10.5" style="42" customWidth="1"/>
    <col min="9" max="9" width="11.375" style="42" customWidth="1"/>
    <col min="10" max="10" width="10.75" style="42" customWidth="1"/>
    <col min="11" max="12" width="10.875" style="42" customWidth="1"/>
    <col min="13" max="13" width="15.5" style="42" customWidth="1"/>
    <col min="14" max="14" width="9" style="42"/>
    <col min="15" max="15" width="9" style="41"/>
    <col min="16" max="16384" width="9" style="42"/>
  </cols>
  <sheetData>
    <row r="1" spans="2:14" s="41" customFormat="1" ht="9" customHeight="1" thickBot="1"/>
    <row r="2" spans="2:14" ht="38.25" customHeight="1" thickBot="1">
      <c r="B2" s="833" t="s">
        <v>288</v>
      </c>
      <c r="C2" s="834"/>
      <c r="D2" s="834"/>
      <c r="E2" s="834"/>
      <c r="F2" s="834"/>
      <c r="G2" s="834"/>
      <c r="H2" s="834"/>
      <c r="I2" s="834"/>
      <c r="J2" s="834"/>
      <c r="K2" s="834"/>
      <c r="L2" s="834"/>
      <c r="M2" s="834"/>
      <c r="N2" s="835"/>
    </row>
    <row r="3" spans="2:14" s="41" customFormat="1" ht="9" customHeight="1" thickBot="1"/>
    <row r="4" spans="2:14" ht="21" thickBot="1">
      <c r="B4" s="780" t="s">
        <v>254</v>
      </c>
      <c r="C4" s="781"/>
      <c r="D4" s="781"/>
      <c r="E4" s="782"/>
      <c r="F4" s="41"/>
      <c r="G4" s="783" t="s">
        <v>255</v>
      </c>
      <c r="H4" s="784"/>
      <c r="I4" s="784"/>
      <c r="J4" s="784"/>
      <c r="K4" s="785"/>
      <c r="L4" s="41"/>
      <c r="M4" s="41"/>
      <c r="N4" s="41"/>
    </row>
    <row r="5" spans="2:14">
      <c r="B5" s="786" t="s">
        <v>256</v>
      </c>
      <c r="C5" s="787"/>
      <c r="D5" s="627">
        <v>311</v>
      </c>
      <c r="E5" s="628"/>
      <c r="F5" s="90"/>
      <c r="G5" s="786" t="s">
        <v>257</v>
      </c>
      <c r="H5" s="787"/>
      <c r="I5" s="787"/>
      <c r="J5" s="787"/>
      <c r="K5" s="67" t="s">
        <v>258</v>
      </c>
      <c r="L5" s="41"/>
      <c r="M5" s="41"/>
      <c r="N5" s="41"/>
    </row>
    <row r="6" spans="2:14">
      <c r="B6" s="635" t="s">
        <v>259</v>
      </c>
      <c r="C6" s="636"/>
      <c r="D6" s="633">
        <v>201</v>
      </c>
      <c r="E6" s="634"/>
      <c r="F6" s="90"/>
      <c r="G6" s="635" t="s">
        <v>260</v>
      </c>
      <c r="H6" s="636"/>
      <c r="I6" s="636"/>
      <c r="J6" s="636"/>
      <c r="K6" s="509" t="s">
        <v>16</v>
      </c>
      <c r="L6" s="41"/>
      <c r="M6" s="41"/>
      <c r="N6" s="41"/>
    </row>
    <row r="7" spans="2:14">
      <c r="B7" s="635" t="s">
        <v>261</v>
      </c>
      <c r="C7" s="636"/>
      <c r="D7" s="633">
        <v>2000</v>
      </c>
      <c r="E7" s="634"/>
      <c r="F7" s="41"/>
      <c r="G7" s="795" t="str">
        <f>"데이터이용량 "&amp;D7&amp;"MB 이상만 나열하기"</f>
        <v>데이터이용량 2000MB 이상만 나열하기</v>
      </c>
      <c r="H7" s="796"/>
      <c r="I7" s="796"/>
      <c r="J7" s="796"/>
      <c r="K7" s="509" t="s">
        <v>16</v>
      </c>
      <c r="L7" s="41"/>
      <c r="M7" s="41"/>
      <c r="N7" s="41"/>
    </row>
    <row r="8" spans="2:14" ht="17.25" thickBot="1">
      <c r="B8" s="645" t="s">
        <v>262</v>
      </c>
      <c r="C8" s="646"/>
      <c r="D8" s="647">
        <v>0</v>
      </c>
      <c r="E8" s="648"/>
      <c r="F8" s="41"/>
      <c r="G8" s="649" t="s">
        <v>263</v>
      </c>
      <c r="H8" s="650"/>
      <c r="I8" s="650"/>
      <c r="J8" s="650"/>
      <c r="K8" s="50" t="s">
        <v>16</v>
      </c>
      <c r="L8" s="41"/>
      <c r="M8" s="41"/>
      <c r="N8" s="41"/>
    </row>
    <row r="9" spans="2:14" s="41" customFormat="1" ht="17.25" thickBot="1"/>
    <row r="10" spans="2:14" ht="20.25" customHeight="1" thickBot="1">
      <c r="B10" s="797" t="s">
        <v>264</v>
      </c>
      <c r="C10" s="798"/>
      <c r="D10" s="798"/>
      <c r="E10" s="799"/>
      <c r="F10" s="41"/>
      <c r="G10" s="800" t="s">
        <v>265</v>
      </c>
      <c r="H10" s="801"/>
      <c r="I10" s="801"/>
      <c r="J10" s="801"/>
      <c r="K10" s="802"/>
      <c r="L10" s="41"/>
      <c r="M10" s="41"/>
      <c r="N10" s="41"/>
    </row>
    <row r="11" spans="2:14">
      <c r="B11" s="803" t="s">
        <v>266</v>
      </c>
      <c r="C11" s="804"/>
      <c r="D11" s="805">
        <v>50</v>
      </c>
      <c r="E11" s="806"/>
      <c r="F11" s="41"/>
      <c r="G11" s="807" t="s">
        <v>267</v>
      </c>
      <c r="H11" s="808"/>
      <c r="I11" s="808"/>
      <c r="J11" s="809"/>
      <c r="K11" s="510" t="s">
        <v>251</v>
      </c>
      <c r="L11" s="41"/>
      <c r="M11" s="41"/>
      <c r="N11" s="41"/>
    </row>
    <row r="12" spans="2:14">
      <c r="B12" s="788" t="s">
        <v>268</v>
      </c>
      <c r="C12" s="789"/>
      <c r="D12" s="790">
        <v>30</v>
      </c>
      <c r="E12" s="791"/>
      <c r="F12" s="41"/>
      <c r="G12" s="792" t="s">
        <v>269</v>
      </c>
      <c r="H12" s="793"/>
      <c r="I12" s="793"/>
      <c r="J12" s="794"/>
      <c r="K12" s="589" t="s">
        <v>16</v>
      </c>
      <c r="L12" s="41"/>
      <c r="M12" s="41"/>
      <c r="N12" s="41"/>
    </row>
    <row r="13" spans="2:14" ht="17.25" thickBot="1">
      <c r="B13" s="810" t="s">
        <v>271</v>
      </c>
      <c r="C13" s="811"/>
      <c r="D13" s="812">
        <v>20</v>
      </c>
      <c r="E13" s="813"/>
      <c r="F13" s="41"/>
      <c r="G13" s="814" t="s">
        <v>272</v>
      </c>
      <c r="H13" s="815"/>
      <c r="I13" s="815"/>
      <c r="J13" s="816"/>
      <c r="K13" s="590" t="s">
        <v>16</v>
      </c>
      <c r="L13" s="41"/>
      <c r="M13" s="41"/>
      <c r="N13" s="41"/>
    </row>
    <row r="14" spans="2:14">
      <c r="B14" s="607" t="str">
        <f>IF(SUM(D11:E13)&gt;100,"** 오류 ** (통화비중(%)에서 3사 비중의 합이 100을 넘을수 없습니다)","")</f>
        <v/>
      </c>
      <c r="C14" s="606"/>
      <c r="D14" s="606"/>
      <c r="E14" s="606"/>
      <c r="F14" s="606"/>
      <c r="G14" s="608" t="str">
        <f>IF(SUM($D$11:$E$13)&gt;100,"O","")</f>
        <v/>
      </c>
      <c r="H14" s="606"/>
      <c r="I14" s="606"/>
      <c r="J14" s="606"/>
      <c r="K14" s="606"/>
      <c r="L14" s="41"/>
      <c r="M14" s="41"/>
      <c r="N14" s="41"/>
    </row>
    <row r="15" spans="2:14" ht="9" customHeight="1">
      <c r="B15" s="607"/>
      <c r="C15" s="606"/>
      <c r="D15" s="606"/>
      <c r="E15" s="606"/>
      <c r="F15" s="606"/>
      <c r="G15" s="606"/>
      <c r="H15" s="606"/>
      <c r="I15" s="606"/>
      <c r="J15" s="606"/>
      <c r="K15" s="606"/>
      <c r="L15" s="41"/>
      <c r="M15" s="41"/>
      <c r="N15" s="41"/>
    </row>
    <row r="16" spans="2:14" s="41" customFormat="1">
      <c r="B16" s="41" t="s">
        <v>284</v>
      </c>
    </row>
    <row r="17" spans="2:14" s="41" customFormat="1">
      <c r="B17" s="41" t="s">
        <v>287</v>
      </c>
    </row>
    <row r="18" spans="2:14" s="41" customFormat="1"/>
    <row r="19" spans="2:14" s="41" customFormat="1" ht="34.5" thickBot="1">
      <c r="B19" s="595" t="s">
        <v>266</v>
      </c>
      <c r="D19" s="522" t="str">
        <f>"총 "&amp;COUNTA('참고-SKT'!D24:D83)&amp;"요금제 중 검색 제외된 요금제는 "&amp;COUNTIF('참고-SKT'!C24:C83,"O")&amp;"개입니다.  "</f>
        <v xml:space="preserve">총 60요금제 중 검색 제외된 요금제는 0개입니다.  </v>
      </c>
    </row>
    <row r="20" spans="2:14" ht="16.5" customHeight="1">
      <c r="B20" s="817" t="s">
        <v>273</v>
      </c>
      <c r="C20" s="819" t="s">
        <v>3</v>
      </c>
      <c r="D20" s="821" t="s">
        <v>4</v>
      </c>
      <c r="E20" s="823" t="s">
        <v>274</v>
      </c>
      <c r="F20" s="825" t="s">
        <v>275</v>
      </c>
      <c r="G20" s="821" t="s">
        <v>276</v>
      </c>
      <c r="H20" s="523" t="s">
        <v>7</v>
      </c>
      <c r="I20" s="524" t="s">
        <v>277</v>
      </c>
      <c r="J20" s="827" t="s">
        <v>278</v>
      </c>
      <c r="K20" s="840" t="s">
        <v>279</v>
      </c>
      <c r="L20" s="511" t="s">
        <v>280</v>
      </c>
      <c r="M20" s="842" t="s">
        <v>281</v>
      </c>
      <c r="N20" s="844" t="s">
        <v>282</v>
      </c>
    </row>
    <row r="21" spans="2:14" ht="17.25" thickBot="1">
      <c r="B21" s="818"/>
      <c r="C21" s="820"/>
      <c r="D21" s="822"/>
      <c r="E21" s="824"/>
      <c r="F21" s="826"/>
      <c r="G21" s="822"/>
      <c r="H21" s="199" t="str">
        <f>'참고-SKT'!I15</f>
        <v>(24개월)</v>
      </c>
      <c r="I21" s="525" t="str">
        <f>'참고-SKT'!J15</f>
        <v>(부가세포함)</v>
      </c>
      <c r="J21" s="828"/>
      <c r="K21" s="841"/>
      <c r="L21" s="512" t="str">
        <f>'참고-SKT'!M15</f>
        <v>(부가세포함)</v>
      </c>
      <c r="M21" s="843"/>
      <c r="N21" s="845"/>
    </row>
    <row r="22" spans="2:14">
      <c r="B22" s="526">
        <f>IF($G$14="O","",'참고-SKT'!C16)</f>
        <v>1</v>
      </c>
      <c r="C22" s="415" t="str">
        <f>IF($G$14="O","",'참고-SKT'!D16)</f>
        <v>T끼리 맞춤형 망외 100분</v>
      </c>
      <c r="D22" s="527">
        <f>IF($G$14="O","",'참고-SKT'!E16)</f>
        <v>32500</v>
      </c>
      <c r="E22" s="528">
        <f>IF($G$14="O","",'참고-SKT'!F16)</f>
        <v>100</v>
      </c>
      <c r="F22" s="529" t="str">
        <f>IF($G$14="O","",'참고-SKT'!G16)</f>
        <v>무제한</v>
      </c>
      <c r="G22" s="9">
        <f>IF($G$14="O","",'참고-SKT'!H16)</f>
        <v>250</v>
      </c>
      <c r="H22" s="530">
        <f>IF($G$14="O","",'참고-SKT'!I16)</f>
        <v>7200</v>
      </c>
      <c r="I22" s="531">
        <f>IF($G$14="O","",'참고-SKT'!J16)</f>
        <v>27830.000000000004</v>
      </c>
      <c r="J22" s="532">
        <f>IF($G$14="O","",'참고-SKT'!K16)</f>
        <v>5994</v>
      </c>
      <c r="K22" s="530">
        <f>IF($G$14="O","",'참고-SKT'!L16)</f>
        <v>0</v>
      </c>
      <c r="L22" s="533">
        <f>IF($G$14="O","",'참고-SKT'!M16)</f>
        <v>34423.4</v>
      </c>
      <c r="M22" s="11" t="str">
        <f>IF($G$14="O","",'참고-SKT'!N16)</f>
        <v>데이터(1.75GB) 부족</v>
      </c>
      <c r="N22" s="591"/>
    </row>
    <row r="23" spans="2:14">
      <c r="B23" s="534">
        <f>IF($G$14="O","",'참고-SKT'!C17)</f>
        <v>2</v>
      </c>
      <c r="C23" s="535" t="str">
        <f>IF($G$14="O","",'참고-SKT'!D17)</f>
        <v>T끼리 맞춤형 망외 150분</v>
      </c>
      <c r="D23" s="536">
        <f>IF($G$14="O","",'참고-SKT'!E17)</f>
        <v>38500</v>
      </c>
      <c r="E23" s="537">
        <f>IF($G$14="O","",'참고-SKT'!F17)</f>
        <v>150</v>
      </c>
      <c r="F23" s="538" t="str">
        <f>IF($G$14="O","",'참고-SKT'!G17)</f>
        <v>무제한</v>
      </c>
      <c r="G23" s="539">
        <f>IF($G$14="O","",'참고-SKT'!H17)</f>
        <v>250</v>
      </c>
      <c r="H23" s="540">
        <f>IF($G$14="O","",'참고-SKT'!I17)</f>
        <v>7200</v>
      </c>
      <c r="I23" s="541">
        <f>IF($G$14="O","",'참고-SKT'!J17)</f>
        <v>34430</v>
      </c>
      <c r="J23" s="542">
        <f>IF($G$14="O","",'참고-SKT'!K17)</f>
        <v>594</v>
      </c>
      <c r="K23" s="540">
        <f>IF($G$14="O","",'참고-SKT'!L17)</f>
        <v>0</v>
      </c>
      <c r="L23" s="543">
        <f>IF($G$14="O","",'참고-SKT'!M17)</f>
        <v>35083.4</v>
      </c>
      <c r="M23" s="544" t="str">
        <f>IF($G$14="O","",'참고-SKT'!N17)</f>
        <v>데이터(1.75GB) 부족</v>
      </c>
      <c r="N23" s="592">
        <f>IF($G$14="O","",'참고-SKT'!O17)</f>
        <v>660</v>
      </c>
    </row>
    <row r="24" spans="2:14">
      <c r="B24" s="545">
        <f>IF($G$14="O","",'참고-SKT'!C18)</f>
        <v>3</v>
      </c>
      <c r="C24" s="417" t="str">
        <f>IF($G$14="O","",'참고-SKT'!D18)</f>
        <v>T끼리 맞춤형 망외 200분</v>
      </c>
      <c r="D24" s="546">
        <f>IF($G$14="O","",'참고-SKT'!E18)</f>
        <v>45500</v>
      </c>
      <c r="E24" s="547">
        <f>IF($G$14="O","",'참고-SKT'!F18)</f>
        <v>200</v>
      </c>
      <c r="F24" s="548" t="str">
        <f>IF($G$14="O","",'참고-SKT'!G18)</f>
        <v>무제한</v>
      </c>
      <c r="G24" s="1">
        <f>IF($G$14="O","",'참고-SKT'!H18)</f>
        <v>250</v>
      </c>
      <c r="H24" s="549">
        <f>IF($G$14="O","",'참고-SKT'!I18)</f>
        <v>11250</v>
      </c>
      <c r="I24" s="550">
        <f>IF($G$14="O","",'참고-SKT'!J18)</f>
        <v>37675</v>
      </c>
      <c r="J24" s="551">
        <f>IF($G$14="O","",'참고-SKT'!K18)</f>
        <v>0</v>
      </c>
      <c r="K24" s="549">
        <f>IF($G$14="O","",'참고-SKT'!L18)</f>
        <v>0</v>
      </c>
      <c r="L24" s="552">
        <f>IF($G$14="O","",'참고-SKT'!M18)</f>
        <v>37675</v>
      </c>
      <c r="M24" s="13" t="str">
        <f>IF($G$14="O","",'참고-SKT'!N18)</f>
        <v>데이터(1.75GB) 부족</v>
      </c>
      <c r="N24" s="593">
        <f>IF($G$14="O","",'참고-SKT'!O18)</f>
        <v>2591.5999999999985</v>
      </c>
    </row>
    <row r="25" spans="2:14">
      <c r="B25" s="534">
        <f>IF($G$14="O","",'참고-SKT'!C19)</f>
        <v>4</v>
      </c>
      <c r="C25" s="535" t="str">
        <f>IF($G$14="O","",'참고-SKT'!D19)</f>
        <v>T끼리 맞춤형 망외 100분</v>
      </c>
      <c r="D25" s="536">
        <f>IF($G$14="O","",'참고-SKT'!E19)</f>
        <v>36500</v>
      </c>
      <c r="E25" s="537">
        <f>IF($G$14="O","",'참고-SKT'!F19)</f>
        <v>100</v>
      </c>
      <c r="F25" s="538" t="str">
        <f>IF($G$14="O","",'참고-SKT'!G19)</f>
        <v>무제한</v>
      </c>
      <c r="G25" s="539">
        <f>IF($G$14="O","",'참고-SKT'!H19)</f>
        <v>700</v>
      </c>
      <c r="H25" s="540">
        <f>IF($G$14="O","",'참고-SKT'!I19)</f>
        <v>7200</v>
      </c>
      <c r="I25" s="541">
        <f>IF($G$14="O","",'참고-SKT'!J19)</f>
        <v>32230.000000000004</v>
      </c>
      <c r="J25" s="542">
        <f>IF($G$14="O","",'참고-SKT'!K19)</f>
        <v>5994</v>
      </c>
      <c r="K25" s="540">
        <f>IF($G$14="O","",'참고-SKT'!L19)</f>
        <v>0</v>
      </c>
      <c r="L25" s="543">
        <f>IF($G$14="O","",'참고-SKT'!M19)</f>
        <v>38823.4</v>
      </c>
      <c r="M25" s="544" t="str">
        <f>IF($G$14="O","",'참고-SKT'!N19)</f>
        <v>데이터(1.3GB) 부족</v>
      </c>
      <c r="N25" s="592">
        <f>IF($G$14="O","",'참고-SKT'!O19)</f>
        <v>1148.4000000000015</v>
      </c>
    </row>
    <row r="26" spans="2:14" ht="17.25" thickBot="1">
      <c r="B26" s="553">
        <f>IF($G$14="O","",'참고-SKT'!C20)</f>
        <v>5</v>
      </c>
      <c r="C26" s="418" t="str">
        <f>IF($G$14="O","",'참고-SKT'!D20)</f>
        <v>T끼리 35</v>
      </c>
      <c r="D26" s="554">
        <f>IF($G$14="O","",'참고-SKT'!E20)</f>
        <v>35000</v>
      </c>
      <c r="E26" s="555">
        <f>IF($G$14="O","",'참고-SKT'!F20)</f>
        <v>80</v>
      </c>
      <c r="F26" s="556" t="str">
        <f>IF($G$14="O","",'참고-SKT'!G20)</f>
        <v>무제한</v>
      </c>
      <c r="G26" s="3">
        <f>IF($G$14="O","",'참고-SKT'!H20)</f>
        <v>550</v>
      </c>
      <c r="H26" s="557">
        <f>IF($G$14="O","",'참고-SKT'!I20)</f>
        <v>7200</v>
      </c>
      <c r="I26" s="558">
        <f>IF($G$14="O","",'참고-SKT'!J20)</f>
        <v>30580.000000000004</v>
      </c>
      <c r="J26" s="559">
        <f>IF($G$14="O","",'참고-SKT'!K20)</f>
        <v>8154</v>
      </c>
      <c r="K26" s="557">
        <f>IF($G$14="O","",'참고-SKT'!L20)</f>
        <v>0</v>
      </c>
      <c r="L26" s="560">
        <f>IF($G$14="O","",'참고-SKT'!M20)</f>
        <v>39549.400000000009</v>
      </c>
      <c r="M26" s="15" t="str">
        <f>IF($G$14="O","",'참고-SKT'!N20)</f>
        <v>데이터(1.45GB) 부족</v>
      </c>
      <c r="N26" s="594">
        <f>IF($G$14="O","",'참고-SKT'!O20)</f>
        <v>726.00000000000728</v>
      </c>
    </row>
    <row r="27" spans="2:14" s="41" customFormat="1" ht="11.25" customHeight="1"/>
    <row r="28" spans="2:14" s="41" customFormat="1" ht="34.5" thickBot="1">
      <c r="B28" s="595" t="s">
        <v>283</v>
      </c>
      <c r="D28" s="522" t="str">
        <f>"총 "&amp;COUNTA('참고-KT'!D24:D88)&amp;"요금제 중 검색 제외된 요금제는 "&amp;COUNTIF('참고-KT'!C24:C88,"O")&amp;"개입니다.  "</f>
        <v xml:space="preserve">총 65요금제 중 검색 제외된 요금제는 6개입니다.  </v>
      </c>
    </row>
    <row r="29" spans="2:14" ht="16.5" customHeight="1">
      <c r="B29" s="829" t="s">
        <v>19</v>
      </c>
      <c r="C29" s="717" t="s">
        <v>3</v>
      </c>
      <c r="D29" s="719" t="s">
        <v>4</v>
      </c>
      <c r="E29" s="831" t="s">
        <v>21</v>
      </c>
      <c r="F29" s="719" t="s">
        <v>5</v>
      </c>
      <c r="G29" s="719" t="s">
        <v>253</v>
      </c>
      <c r="H29" s="465" t="s">
        <v>7</v>
      </c>
      <c r="I29" s="135" t="s">
        <v>8</v>
      </c>
      <c r="J29" s="707" t="s">
        <v>13</v>
      </c>
      <c r="K29" s="709" t="s">
        <v>246</v>
      </c>
      <c r="L29" s="505" t="s">
        <v>252</v>
      </c>
      <c r="M29" s="703" t="s">
        <v>9</v>
      </c>
      <c r="N29" s="713" t="s">
        <v>10</v>
      </c>
    </row>
    <row r="30" spans="2:14" ht="17.25" thickBot="1">
      <c r="B30" s="830"/>
      <c r="C30" s="718"/>
      <c r="D30" s="720"/>
      <c r="E30" s="832"/>
      <c r="F30" s="721"/>
      <c r="G30" s="720"/>
      <c r="H30" s="136" t="str">
        <f>'참고-KT'!I15</f>
        <v>(24개월)</v>
      </c>
      <c r="I30" s="137" t="str">
        <f>'참고-KT'!J23</f>
        <v>(부가세포함)</v>
      </c>
      <c r="J30" s="708"/>
      <c r="K30" s="710"/>
      <c r="L30" s="513" t="str">
        <f>'참고-KT'!M15</f>
        <v>(부가세포함)</v>
      </c>
      <c r="M30" s="704"/>
      <c r="N30" s="714"/>
    </row>
    <row r="31" spans="2:14">
      <c r="B31" s="609">
        <f>IF($G$14="O","",'참고-KT'!C16)</f>
        <v>1</v>
      </c>
      <c r="C31" s="415" t="str">
        <f>IF($G$14="O","",'참고-KT'!D16)</f>
        <v>LTE선택형 통화300분 문자300건</v>
      </c>
      <c r="D31" s="561">
        <f>IF($G$14="O","",'참고-KT'!E16)</f>
        <v>45000</v>
      </c>
      <c r="E31" s="528">
        <f>IF($G$14="O","",'참고-KT'!F16)</f>
        <v>300</v>
      </c>
      <c r="F31" s="529">
        <f>IF($G$14="O","",'참고-KT'!G16)</f>
        <v>300</v>
      </c>
      <c r="G31" s="562">
        <f>IF($G$14="O","",'참고-KT'!H16)</f>
        <v>250</v>
      </c>
      <c r="H31" s="563">
        <f>IF($G$14="O","",'참고-KT'!I16)</f>
        <v>11000</v>
      </c>
      <c r="I31" s="564">
        <f>IF($G$14="O","",'참고-KT'!J16)</f>
        <v>37400</v>
      </c>
      <c r="J31" s="565">
        <f>IF($G$14="O","",'참고-KT'!K16)</f>
        <v>1188</v>
      </c>
      <c r="K31" s="563">
        <f>IF($G$14="O","",'참고-KT'!L16)</f>
        <v>0</v>
      </c>
      <c r="L31" s="566">
        <f>IF($G$14="O","",'참고-KT'!M16)</f>
        <v>38706.800000000003</v>
      </c>
      <c r="M31" s="11" t="str">
        <f>IF($G$14="O","",'참고-KT'!N16)</f>
        <v>데이터(1.75GB) 부족</v>
      </c>
      <c r="N31" s="567"/>
    </row>
    <row r="32" spans="2:14">
      <c r="B32" s="610">
        <f>IF($G$14="O","",'참고-KT'!C17)</f>
        <v>2</v>
      </c>
      <c r="C32" s="535" t="str">
        <f>IF($G$14="O","",'참고-KT'!D17)</f>
        <v>모두다올레 35</v>
      </c>
      <c r="D32" s="568">
        <f>IF($G$14="O","",'참고-KT'!E17)</f>
        <v>35000</v>
      </c>
      <c r="E32" s="537">
        <f>IF($G$14="O","",'참고-KT'!F17)</f>
        <v>130</v>
      </c>
      <c r="F32" s="538" t="str">
        <f>IF($G$14="O","",'참고-KT'!G17)</f>
        <v>무제한</v>
      </c>
      <c r="G32" s="569">
        <f>IF($G$14="O","",'참고-KT'!H17)</f>
        <v>750</v>
      </c>
      <c r="H32" s="570">
        <f>IF($G$14="O","",'참고-KT'!I17)</f>
        <v>7000</v>
      </c>
      <c r="I32" s="571">
        <f>IF($G$14="O","",'참고-KT'!J17)</f>
        <v>30800.000000000004</v>
      </c>
      <c r="J32" s="572">
        <f>IF($G$14="O","",'참고-KT'!K17)</f>
        <v>9471.5999999999985</v>
      </c>
      <c r="K32" s="570">
        <f>IF($G$14="O","",'참고-KT'!L17)</f>
        <v>0</v>
      </c>
      <c r="L32" s="573">
        <f>IF($G$14="O","",'참고-KT'!M17)</f>
        <v>41218.76</v>
      </c>
      <c r="M32" s="544" t="str">
        <f>IF($G$14="O","",'참고-KT'!N17)</f>
        <v>데이터(1.25GB) 부족</v>
      </c>
      <c r="N32" s="574">
        <f>IF($G$14="O","",'참고-KT'!O17)</f>
        <v>2511.9599999999991</v>
      </c>
    </row>
    <row r="33" spans="2:14">
      <c r="B33" s="611">
        <f>IF($G$14="O","",'참고-KT'!C18)</f>
        <v>3</v>
      </c>
      <c r="C33" s="417" t="str">
        <f>IF($G$14="O","",'참고-KT'!D18)</f>
        <v>모두다올레 45</v>
      </c>
      <c r="D33" s="575">
        <f>IF($G$14="O","",'참고-KT'!E18)</f>
        <v>45000</v>
      </c>
      <c r="E33" s="547">
        <f>IF($G$14="O","",'참고-KT'!F18)</f>
        <v>185</v>
      </c>
      <c r="F33" s="548" t="str">
        <f>IF($G$14="O","",'참고-KT'!G18)</f>
        <v>무제한</v>
      </c>
      <c r="G33" s="576">
        <f>IF($G$14="O","",'참고-KT'!H18)</f>
        <v>1500</v>
      </c>
      <c r="H33" s="577">
        <f>IF($G$14="O","",'참고-KT'!I18)</f>
        <v>11000</v>
      </c>
      <c r="I33" s="578">
        <f>IF($G$14="O","",'참고-KT'!J18)</f>
        <v>37400</v>
      </c>
      <c r="J33" s="579">
        <f>IF($G$14="O","",'참고-KT'!K18)</f>
        <v>3531.599999999999</v>
      </c>
      <c r="K33" s="577">
        <f>IF($G$14="O","",'참고-KT'!L18)</f>
        <v>0</v>
      </c>
      <c r="L33" s="580">
        <f>IF($G$14="O","",'참고-KT'!M18)</f>
        <v>41284.76</v>
      </c>
      <c r="M33" s="13" t="str">
        <f>IF($G$14="O","",'참고-KT'!N18)</f>
        <v>데이터(0.5GB) 부족</v>
      </c>
      <c r="N33" s="581">
        <f>IF($G$14="O","",'참고-KT'!O18)</f>
        <v>66</v>
      </c>
    </row>
    <row r="34" spans="2:14">
      <c r="B34" s="610">
        <f>IF($G$14="O","",'참고-KT'!C19)</f>
        <v>4</v>
      </c>
      <c r="C34" s="535" t="str">
        <f>IF($G$14="O","",'참고-KT'!D19)</f>
        <v>LTE선택형 통화300분 문자300건</v>
      </c>
      <c r="D34" s="568">
        <f>IF($G$14="O","",'참고-KT'!E19)</f>
        <v>49000</v>
      </c>
      <c r="E34" s="537">
        <f>IF($G$14="O","",'참고-KT'!F19)</f>
        <v>300</v>
      </c>
      <c r="F34" s="538">
        <f>IF($G$14="O","",'참고-KT'!G19)</f>
        <v>300</v>
      </c>
      <c r="G34" s="569">
        <f>IF($G$14="O","",'참고-KT'!H19)</f>
        <v>1000</v>
      </c>
      <c r="H34" s="570">
        <f>IF($G$14="O","",'참고-KT'!I19)</f>
        <v>11000</v>
      </c>
      <c r="I34" s="571">
        <f>IF($G$14="O","",'참고-KT'!J19)</f>
        <v>41800</v>
      </c>
      <c r="J34" s="572">
        <f>IF($G$14="O","",'참고-KT'!K19)</f>
        <v>1188</v>
      </c>
      <c r="K34" s="570">
        <f>IF($G$14="O","",'참고-KT'!L19)</f>
        <v>0</v>
      </c>
      <c r="L34" s="573">
        <f>IF($G$14="O","",'참고-KT'!M19)</f>
        <v>43106.8</v>
      </c>
      <c r="M34" s="544" t="str">
        <f>IF($G$14="O","",'참고-KT'!N19)</f>
        <v>데이터(1GB) 부족</v>
      </c>
      <c r="N34" s="574">
        <f>IF($G$14="O","",'참고-KT'!O19)</f>
        <v>1822.0400000000009</v>
      </c>
    </row>
    <row r="35" spans="2:14" ht="17.25" thickBot="1">
      <c r="B35" s="612">
        <f>IF($G$14="O","",'참고-KT'!C20)</f>
        <v>5</v>
      </c>
      <c r="C35" s="418" t="str">
        <f>IF($G$14="O","",'참고-KT'!D20)</f>
        <v>LTE선택형 통화400분 문자400건</v>
      </c>
      <c r="D35" s="582">
        <f>IF($G$14="O","",'참고-KT'!E20)</f>
        <v>54500</v>
      </c>
      <c r="E35" s="555">
        <f>IF($G$14="O","",'참고-KT'!F20)</f>
        <v>400</v>
      </c>
      <c r="F35" s="556">
        <f>IF($G$14="O","",'참고-KT'!G20)</f>
        <v>400</v>
      </c>
      <c r="G35" s="583">
        <f>IF($G$14="O","",'참고-KT'!H20)</f>
        <v>250</v>
      </c>
      <c r="H35" s="584">
        <f>IF($G$14="O","",'참고-KT'!I20)</f>
        <v>14000</v>
      </c>
      <c r="I35" s="585">
        <f>IF($G$14="O","",'참고-KT'!J20)</f>
        <v>44550</v>
      </c>
      <c r="J35" s="586">
        <f>IF($G$14="O","",'참고-KT'!K20)</f>
        <v>0</v>
      </c>
      <c r="K35" s="584">
        <f>IF($G$14="O","",'참고-KT'!L20)</f>
        <v>0</v>
      </c>
      <c r="L35" s="587">
        <f>IF($G$14="O","",'참고-KT'!M20)</f>
        <v>44550</v>
      </c>
      <c r="M35" s="15" t="str">
        <f>IF($G$14="O","",'참고-KT'!N20)</f>
        <v>데이터(1.75GB) 부족</v>
      </c>
      <c r="N35" s="588">
        <f>IF($G$14="O","",'참고-KT'!O20)</f>
        <v>1443.1999999999971</v>
      </c>
    </row>
    <row r="36" spans="2:14" s="41" customFormat="1" ht="7.5" customHeight="1"/>
    <row r="37" spans="2:14" s="41" customFormat="1" ht="34.5" thickBot="1">
      <c r="B37" s="595" t="s">
        <v>270</v>
      </c>
      <c r="D37" s="522" t="str">
        <f>"총 "&amp;COUNTA('참고-LG U+'!D24:D74)&amp;"요금제 중 검색 제외된 요금제는 "&amp;COUNTIF('참고-LG U+'!C24:C74,"O")&amp;"개입니다.  "</f>
        <v xml:space="preserve">총 51요금제 중 검색 제외된 요금제는 6개입니다.  </v>
      </c>
    </row>
    <row r="38" spans="2:14" ht="16.5" customHeight="1">
      <c r="B38" s="836" t="s">
        <v>19</v>
      </c>
      <c r="C38" s="751" t="s">
        <v>3</v>
      </c>
      <c r="D38" s="749" t="s">
        <v>4</v>
      </c>
      <c r="E38" s="838" t="s">
        <v>21</v>
      </c>
      <c r="F38" s="749" t="s">
        <v>5</v>
      </c>
      <c r="G38" s="749" t="s">
        <v>253</v>
      </c>
      <c r="H38" s="468" t="s">
        <v>7</v>
      </c>
      <c r="I38" s="166" t="s">
        <v>8</v>
      </c>
      <c r="J38" s="760" t="s">
        <v>13</v>
      </c>
      <c r="K38" s="762" t="s">
        <v>14</v>
      </c>
      <c r="L38" s="506" t="s">
        <v>252</v>
      </c>
      <c r="M38" s="764" t="s">
        <v>9</v>
      </c>
      <c r="N38" s="766" t="s">
        <v>10</v>
      </c>
    </row>
    <row r="39" spans="2:14" ht="17.25" thickBot="1">
      <c r="B39" s="837"/>
      <c r="C39" s="752"/>
      <c r="D39" s="750"/>
      <c r="E39" s="839"/>
      <c r="F39" s="753"/>
      <c r="G39" s="750"/>
      <c r="H39" s="167" t="str">
        <f>'참고-LG U+'!I15</f>
        <v>(24개월)</v>
      </c>
      <c r="I39" s="168" t="str">
        <f>'참고-LG U+'!J15</f>
        <v>(부가세포함)</v>
      </c>
      <c r="J39" s="761"/>
      <c r="K39" s="763"/>
      <c r="L39" s="514" t="str">
        <f>'참고-LG U+'!M15</f>
        <v>(부가세포함)</v>
      </c>
      <c r="M39" s="765"/>
      <c r="N39" s="767"/>
    </row>
    <row r="40" spans="2:14">
      <c r="B40" s="609">
        <f>IF($G$14="O","",'참고-LG U+'!C16)</f>
        <v>1</v>
      </c>
      <c r="C40" s="415" t="str">
        <f>IF($G$14="O","",'참고-LG U+'!D16)</f>
        <v>LTE 선택형 통화 300분</v>
      </c>
      <c r="D40" s="561">
        <f>IF($G$14="O","",'참고-LG U+'!E16)</f>
        <v>44500</v>
      </c>
      <c r="E40" s="528">
        <f>IF($G$14="O","",'참고-LG U+'!F16)</f>
        <v>300</v>
      </c>
      <c r="F40" s="529" t="str">
        <f>IF($G$14="O","",'참고-LG U+'!G16)</f>
        <v>50(무료)</v>
      </c>
      <c r="G40" s="562">
        <f>IF($G$14="O","",'참고-LG U+'!H16)</f>
        <v>250</v>
      </c>
      <c r="H40" s="563">
        <f>IF($G$14="O","",'참고-LG U+'!I16)</f>
        <v>10500</v>
      </c>
      <c r="I40" s="564">
        <f>IF($G$14="O","",'참고-LG U+'!J16)</f>
        <v>37400</v>
      </c>
      <c r="J40" s="565">
        <f>IF($G$14="O","",'참고-LG U+'!K16)</f>
        <v>1188</v>
      </c>
      <c r="K40" s="563">
        <f>IF($G$14="O","",'참고-LG U+'!L16)</f>
        <v>3020</v>
      </c>
      <c r="L40" s="566">
        <f>IF($G$14="O","",'참고-LG U+'!M16)</f>
        <v>42028.800000000003</v>
      </c>
      <c r="M40" s="11" t="str">
        <f>IF($G$14="O","",'참고-LG U+'!N16)</f>
        <v>데이터(1.75GB) 부족</v>
      </c>
      <c r="N40" s="567"/>
    </row>
    <row r="41" spans="2:14">
      <c r="B41" s="610">
        <f>IF($G$14="O","",'참고-LG U+'!C17)</f>
        <v>2</v>
      </c>
      <c r="C41" s="535" t="str">
        <f>IF($G$14="O","",'참고-LG U+'!D17)</f>
        <v>Single LTE 망내 34</v>
      </c>
      <c r="D41" s="568">
        <f>IF($G$14="O","",'참고-LG U+'!E17)</f>
        <v>34000</v>
      </c>
      <c r="E41" s="537">
        <f>IF($G$14="O","",'참고-LG U+'!F17)</f>
        <v>115</v>
      </c>
      <c r="F41" s="538" t="str">
        <f>IF($G$14="O","",'참고-LG U+'!G17)</f>
        <v>무제한</v>
      </c>
      <c r="G41" s="569">
        <f>IF($G$14="O","",'참고-LG U+'!H17)</f>
        <v>750</v>
      </c>
      <c r="H41" s="570">
        <f>IF($G$14="O","",'참고-LG U+'!I17)</f>
        <v>7000</v>
      </c>
      <c r="I41" s="571">
        <f>IF($G$14="O","",'참고-LG U+'!J17)</f>
        <v>29700.000000000004</v>
      </c>
      <c r="J41" s="572">
        <f>IF($G$14="O","",'참고-LG U+'!K17)</f>
        <v>13647.6</v>
      </c>
      <c r="K41" s="570">
        <f>IF($G$14="O","",'참고-LG U+'!L17)</f>
        <v>0</v>
      </c>
      <c r="L41" s="573">
        <f>IF($G$14="O","",'참고-LG U+'!M17)</f>
        <v>44712.360000000008</v>
      </c>
      <c r="M41" s="544" t="str">
        <f>IF($G$14="O","",'참고-LG U+'!N17)</f>
        <v>데이터(1.25GB) 부족</v>
      </c>
      <c r="N41" s="574">
        <f>IF($G$14="O","",'참고-LG U+'!O17)</f>
        <v>2683.5600000000049</v>
      </c>
    </row>
    <row r="42" spans="2:14">
      <c r="B42" s="611">
        <f>IF($G$14="O","",'참고-LG U+'!C18)</f>
        <v>3</v>
      </c>
      <c r="C42" s="417" t="str">
        <f>IF($G$14="O","",'참고-LG U+'!D18)</f>
        <v>LTE 선택형 통화 300분</v>
      </c>
      <c r="D42" s="575">
        <f>IF($G$14="O","",'참고-LG U+'!E18)</f>
        <v>47000</v>
      </c>
      <c r="E42" s="547">
        <f>IF($G$14="O","",'참고-LG U+'!F18)</f>
        <v>300</v>
      </c>
      <c r="F42" s="548" t="str">
        <f>IF($G$14="O","",'참고-LG U+'!G18)</f>
        <v>50(무료)</v>
      </c>
      <c r="G42" s="576">
        <f>IF($G$14="O","",'참고-LG U+'!H18)</f>
        <v>500</v>
      </c>
      <c r="H42" s="577">
        <f>IF($G$14="O","",'참고-LG U+'!I18)</f>
        <v>10500</v>
      </c>
      <c r="I42" s="578">
        <f>IF($G$14="O","",'참고-LG U+'!J18)</f>
        <v>40150</v>
      </c>
      <c r="J42" s="579">
        <f>IF($G$14="O","",'참고-LG U+'!K18)</f>
        <v>1188</v>
      </c>
      <c r="K42" s="577">
        <f>IF($G$14="O","",'참고-LG U+'!L18)</f>
        <v>3020</v>
      </c>
      <c r="L42" s="580">
        <f>IF($G$14="O","",'참고-LG U+'!M18)</f>
        <v>44778.8</v>
      </c>
      <c r="M42" s="13" t="str">
        <f>IF($G$14="O","",'참고-LG U+'!N18)</f>
        <v>데이터(1.5GB) 부족</v>
      </c>
      <c r="N42" s="581">
        <f>IF($G$14="O","",'참고-LG U+'!O18)</f>
        <v>66.439999999995052</v>
      </c>
    </row>
    <row r="43" spans="2:14">
      <c r="B43" s="610">
        <f>IF($G$14="O","",'참고-LG U+'!C19)</f>
        <v>4</v>
      </c>
      <c r="C43" s="535" t="str">
        <f>IF($G$14="O","",'참고-LG U+'!D19)</f>
        <v>Single LTE 망내 42</v>
      </c>
      <c r="D43" s="568">
        <f>IF($G$14="O","",'참고-LG U+'!E19)</f>
        <v>42000</v>
      </c>
      <c r="E43" s="537">
        <f>IF($G$14="O","",'참고-LG U+'!F19)</f>
        <v>148</v>
      </c>
      <c r="F43" s="538" t="str">
        <f>IF($G$14="O","",'참고-LG U+'!G19)</f>
        <v>무제한</v>
      </c>
      <c r="G43" s="569">
        <f>IF($G$14="O","",'참고-LG U+'!H19)</f>
        <v>1400</v>
      </c>
      <c r="H43" s="570">
        <f>IF($G$14="O","",'참고-LG U+'!I19)</f>
        <v>10500</v>
      </c>
      <c r="I43" s="571">
        <f>IF($G$14="O","",'참고-LG U+'!J19)</f>
        <v>34650</v>
      </c>
      <c r="J43" s="572">
        <f>IF($G$14="O","",'참고-LG U+'!K19)</f>
        <v>10281.600000000002</v>
      </c>
      <c r="K43" s="570">
        <f>IF($G$14="O","",'참고-LG U+'!L19)</f>
        <v>0</v>
      </c>
      <c r="L43" s="573">
        <f>IF($G$14="O","",'참고-LG U+'!M19)</f>
        <v>45959.76</v>
      </c>
      <c r="M43" s="544" t="str">
        <f>IF($G$14="O","",'참고-LG U+'!N19)</f>
        <v>데이터(0.6GB) 부족</v>
      </c>
      <c r="N43" s="574">
        <f>IF($G$14="O","",'참고-LG U+'!O19)</f>
        <v>1180.9599999999991</v>
      </c>
    </row>
    <row r="44" spans="2:14" ht="17.25" thickBot="1">
      <c r="B44" s="612">
        <f>IF($G$14="O","",'참고-LG U+'!C20)</f>
        <v>5</v>
      </c>
      <c r="C44" s="418" t="str">
        <f>IF($G$14="O","",'참고-LG U+'!D20)</f>
        <v>LTE 망내 34</v>
      </c>
      <c r="D44" s="582">
        <f>IF($G$14="O","",'참고-LG U+'!E20)</f>
        <v>34000</v>
      </c>
      <c r="E44" s="555">
        <f>IF($G$14="O","",'참고-LG U+'!F20)</f>
        <v>110</v>
      </c>
      <c r="F44" s="556" t="str">
        <f>IF($G$14="O","",'참고-LG U+'!G20)</f>
        <v>무제한</v>
      </c>
      <c r="G44" s="583">
        <f>IF($G$14="O","",'참고-LG U+'!H20)</f>
        <v>750</v>
      </c>
      <c r="H44" s="584">
        <f>IF($G$14="O","",'참고-LG U+'!I20)</f>
        <v>7000</v>
      </c>
      <c r="I44" s="585">
        <f>IF($G$14="O","",'참고-LG U+'!J20)</f>
        <v>29700.000000000004</v>
      </c>
      <c r="J44" s="586">
        <f>IF($G$14="O","",'참고-LG U+'!K20)</f>
        <v>14990.4</v>
      </c>
      <c r="K44" s="584">
        <f>IF($G$14="O","",'참고-LG U+'!L20)</f>
        <v>0</v>
      </c>
      <c r="L44" s="587">
        <f>IF($G$14="O","",'참고-LG U+'!M20)</f>
        <v>46189.440000000002</v>
      </c>
      <c r="M44" s="15" t="str">
        <f>IF($G$14="O","",'참고-LG U+'!N20)</f>
        <v>데이터(1.25GB) 부족</v>
      </c>
      <c r="N44" s="588">
        <f>IF($G$14="O","",'참고-LG U+'!O20)</f>
        <v>229.68000000000029</v>
      </c>
    </row>
    <row r="45" spans="2:14" s="41" customFormat="1"/>
    <row r="46" spans="2:14" s="41" customFormat="1"/>
    <row r="47" spans="2:14" s="41" customFormat="1"/>
    <row r="48" spans="2:14" s="41" customFormat="1"/>
    <row r="49" s="41" customFormat="1"/>
  </sheetData>
  <sheetProtection algorithmName="SHA-512" hashValue="a1Xpg7lNYH4x0dvGRy+6QYYdvtvf5XGp9plquFEJ7lcbNZe1ct8yDkX44+Zn6edWHBWL8gaimWftIsQT7Amehw==" saltValue="qH2F0RNJEgYMDnA/7SZTlw==" spinCount="100000" sheet="1" objects="1" scenarios="1"/>
  <mergeCells count="56">
    <mergeCell ref="B2:N2"/>
    <mergeCell ref="B38:B39"/>
    <mergeCell ref="C38:C39"/>
    <mergeCell ref="D38:D39"/>
    <mergeCell ref="E38:E39"/>
    <mergeCell ref="F38:F39"/>
    <mergeCell ref="G38:G39"/>
    <mergeCell ref="J38:J39"/>
    <mergeCell ref="K20:K21"/>
    <mergeCell ref="M20:M21"/>
    <mergeCell ref="N20:N21"/>
    <mergeCell ref="G29:G30"/>
    <mergeCell ref="J29:J30"/>
    <mergeCell ref="K38:K39"/>
    <mergeCell ref="M38:M39"/>
    <mergeCell ref="N38:N39"/>
    <mergeCell ref="K29:K30"/>
    <mergeCell ref="M29:M30"/>
    <mergeCell ref="N29:N30"/>
    <mergeCell ref="B29:B30"/>
    <mergeCell ref="C29:C30"/>
    <mergeCell ref="D29:D30"/>
    <mergeCell ref="E29:E30"/>
    <mergeCell ref="F29:F30"/>
    <mergeCell ref="B13:C13"/>
    <mergeCell ref="D13:E13"/>
    <mergeCell ref="G13:J13"/>
    <mergeCell ref="B20:B21"/>
    <mergeCell ref="C20:C21"/>
    <mergeCell ref="D20:D21"/>
    <mergeCell ref="E20:E21"/>
    <mergeCell ref="F20:F21"/>
    <mergeCell ref="G20:G21"/>
    <mergeCell ref="J20:J21"/>
    <mergeCell ref="B12:C12"/>
    <mergeCell ref="D12:E12"/>
    <mergeCell ref="G12:J12"/>
    <mergeCell ref="B7:C7"/>
    <mergeCell ref="D7:E7"/>
    <mergeCell ref="G7:J7"/>
    <mergeCell ref="B8:C8"/>
    <mergeCell ref="D8:E8"/>
    <mergeCell ref="G8:J8"/>
    <mergeCell ref="B10:E10"/>
    <mergeCell ref="G10:K10"/>
    <mergeCell ref="B11:C11"/>
    <mergeCell ref="D11:E11"/>
    <mergeCell ref="G11:J11"/>
    <mergeCell ref="B6:C6"/>
    <mergeCell ref="D6:E6"/>
    <mergeCell ref="G6:J6"/>
    <mergeCell ref="B4:E4"/>
    <mergeCell ref="G4:K4"/>
    <mergeCell ref="B5:C5"/>
    <mergeCell ref="D5:E5"/>
    <mergeCell ref="G5:J5"/>
  </mergeCells>
  <phoneticPr fontId="3" type="noConversion"/>
  <conditionalFormatting sqref="D11:E13">
    <cfRule type="expression" dxfId="24" priority="1">
      <formula>$G$14="O"</formula>
    </cfRule>
  </conditionalFormatting>
  <dataValidations count="4">
    <dataValidation type="decimal" allowBlank="1" showInputMessage="1" showErrorMessage="1" sqref="D11:D13">
      <formula1>0</formula1>
      <formula2>100</formula2>
    </dataValidation>
    <dataValidation type="list" allowBlank="1" showInputMessage="1" showErrorMessage="1" sqref="K6:K8 K12:K13">
      <formula1>"O,X"</formula1>
    </dataValidation>
    <dataValidation type="list" allowBlank="1" showInputMessage="1" showErrorMessage="1" sqref="K11">
      <formula1>"해당사항없음,10,20,30,50"</formula1>
    </dataValidation>
    <dataValidation type="list" allowBlank="1" showInputMessage="1" showErrorMessage="1" prompt="LTE 맞춤형요금제에 한해서 부가서비스로의 문자개수를 선택 하십시요. (무료문자 50건)_x000a__x000a_문자개수100, 200, 500,700,1000 개에 대해서 각각 1500, 3000, 6000, 8000,10000 원의 부가요금이 청구됩니다." sqref="D8:E8">
      <formula1>"0,100,200,500,700,1000"</formula1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A1:X99"/>
  <sheetViews>
    <sheetView workbookViewId="0">
      <selection activeCell="I28" sqref="I28"/>
    </sheetView>
  </sheetViews>
  <sheetFormatPr defaultRowHeight="16.5"/>
  <cols>
    <col min="1" max="1" width="1.75" style="41" customWidth="1"/>
    <col min="2" max="2" width="5" style="41" customWidth="1"/>
    <col min="3" max="3" width="5.25" style="190" customWidth="1"/>
    <col min="4" max="4" width="21.375" style="190" customWidth="1"/>
    <col min="5" max="5" width="8.25" style="190" customWidth="1"/>
    <col min="6" max="6" width="11.5" style="190" customWidth="1"/>
    <col min="7" max="7" width="7.625" style="190" customWidth="1"/>
    <col min="8" max="8" width="9" style="190"/>
    <col min="9" max="9" width="9.75" style="190" customWidth="1"/>
    <col min="10" max="10" width="9" style="190"/>
    <col min="11" max="11" width="11.125" style="190" customWidth="1"/>
    <col min="12" max="12" width="11.375" style="190" customWidth="1"/>
    <col min="13" max="13" width="12.75" style="190" customWidth="1"/>
    <col min="14" max="14" width="15" style="190" customWidth="1"/>
    <col min="15" max="15" width="11.75" style="190" customWidth="1"/>
    <col min="16" max="16" width="5.5" style="425" customWidth="1"/>
    <col min="17" max="17" width="3.75" style="425" customWidth="1"/>
    <col min="18" max="18" width="7.875" style="425" customWidth="1"/>
    <col min="19" max="19" width="4.125" style="425" customWidth="1"/>
    <col min="20" max="20" width="6.75" style="425" customWidth="1"/>
    <col min="21" max="21" width="5.5" style="425" customWidth="1"/>
    <col min="22" max="22" width="3" style="274" customWidth="1"/>
    <col min="23" max="23" width="9" style="420"/>
    <col min="24" max="16384" width="9" style="190"/>
  </cols>
  <sheetData>
    <row r="1" spans="1:24" s="188" customFormat="1" ht="6" customHeight="1">
      <c r="A1" s="41"/>
      <c r="B1" s="41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419"/>
      <c r="Q1" s="419"/>
      <c r="R1" s="419"/>
      <c r="S1" s="419"/>
      <c r="T1" s="419"/>
      <c r="U1" s="419"/>
      <c r="V1" s="420"/>
      <c r="W1" s="420"/>
    </row>
    <row r="2" spans="1:24" ht="2.25" customHeight="1" thickBot="1"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419"/>
      <c r="Q2" s="419"/>
      <c r="R2" s="419"/>
      <c r="S2" s="419"/>
      <c r="T2" s="419"/>
      <c r="U2" s="419"/>
      <c r="V2" s="420"/>
      <c r="X2" s="256"/>
    </row>
    <row r="3" spans="1:24" ht="30.75" customHeight="1" thickBot="1">
      <c r="B3" s="616" t="s">
        <v>286</v>
      </c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  <c r="N3" s="617"/>
      <c r="O3" s="618"/>
      <c r="P3" s="419"/>
      <c r="Q3" s="419"/>
      <c r="R3" s="419"/>
      <c r="S3" s="419"/>
      <c r="T3" s="419"/>
      <c r="U3" s="419"/>
      <c r="V3" s="420"/>
      <c r="X3" s="256"/>
    </row>
    <row r="4" spans="1:24" ht="17.100000000000001" customHeight="1">
      <c r="C4" s="191"/>
      <c r="D4" s="192" t="s">
        <v>123</v>
      </c>
      <c r="E4" s="187"/>
      <c r="F4" s="187"/>
      <c r="G4" s="187"/>
      <c r="H4" s="187"/>
      <c r="I4" s="193"/>
      <c r="J4" s="187"/>
      <c r="K4" s="193"/>
      <c r="L4" s="193"/>
      <c r="M4" s="68"/>
      <c r="N4" s="69"/>
      <c r="O4" s="69"/>
      <c r="P4" s="421" t="s">
        <v>211</v>
      </c>
      <c r="Q4" s="422" t="s">
        <v>212</v>
      </c>
      <c r="R4" s="419"/>
      <c r="S4" s="419"/>
      <c r="T4" s="419"/>
      <c r="U4" s="419"/>
      <c r="V4" s="420"/>
      <c r="X4" s="256"/>
    </row>
    <row r="5" spans="1:24" ht="17.100000000000001" customHeight="1">
      <c r="C5" s="191"/>
      <c r="D5" s="852" t="s">
        <v>285</v>
      </c>
      <c r="E5" s="852"/>
      <c r="F5" s="852"/>
      <c r="G5" s="852"/>
      <c r="H5" s="852"/>
      <c r="I5" s="852"/>
      <c r="J5" s="852"/>
      <c r="K5" s="195"/>
      <c r="L5" s="193"/>
      <c r="M5" s="70"/>
      <c r="N5" s="69"/>
      <c r="O5" s="69"/>
      <c r="P5" s="423">
        <v>0</v>
      </c>
      <c r="Q5" s="422">
        <v>0</v>
      </c>
      <c r="R5" s="419"/>
      <c r="S5" s="419"/>
      <c r="T5" s="419"/>
      <c r="U5" s="419"/>
      <c r="V5" s="420"/>
      <c r="X5" s="256"/>
    </row>
    <row r="6" spans="1:24" ht="24" customHeight="1" thickBot="1">
      <c r="C6" s="191"/>
      <c r="D6" s="852"/>
      <c r="E6" s="852"/>
      <c r="F6" s="852"/>
      <c r="G6" s="852"/>
      <c r="H6" s="852"/>
      <c r="I6" s="852"/>
      <c r="J6" s="852"/>
      <c r="K6" s="193"/>
      <c r="L6" s="193"/>
      <c r="M6" s="68"/>
      <c r="N6" s="69"/>
      <c r="O6" s="69"/>
      <c r="P6" s="423">
        <v>100</v>
      </c>
      <c r="Q6" s="424">
        <v>1500</v>
      </c>
      <c r="R6" s="419"/>
      <c r="S6" s="419"/>
      <c r="T6" s="419"/>
      <c r="U6" s="419"/>
      <c r="V6" s="420"/>
      <c r="X6" s="256"/>
    </row>
    <row r="7" spans="1:24" ht="24" customHeight="1" thickBot="1">
      <c r="C7" s="191"/>
      <c r="D7" s="619" t="s">
        <v>25</v>
      </c>
      <c r="E7" s="620"/>
      <c r="F7" s="620"/>
      <c r="G7" s="621"/>
      <c r="H7" s="187"/>
      <c r="I7" s="193"/>
      <c r="J7" s="187"/>
      <c r="K7" s="622" t="s">
        <v>26</v>
      </c>
      <c r="L7" s="623"/>
      <c r="M7" s="623"/>
      <c r="N7" s="624"/>
      <c r="O7" s="69"/>
      <c r="P7" s="423">
        <v>200</v>
      </c>
      <c r="Q7" s="424">
        <v>3000</v>
      </c>
      <c r="R7" s="419"/>
      <c r="S7" s="419"/>
      <c r="T7" s="419"/>
      <c r="U7" s="419"/>
      <c r="V7" s="420"/>
      <c r="X7" s="256"/>
    </row>
    <row r="8" spans="1:24" ht="18" customHeight="1">
      <c r="C8" s="187"/>
      <c r="D8" s="625" t="s">
        <v>0</v>
      </c>
      <c r="E8" s="626"/>
      <c r="F8" s="850">
        <f>'3사 추천요금제'!D5</f>
        <v>311</v>
      </c>
      <c r="G8" s="851"/>
      <c r="H8" s="90" t="str">
        <f>IF(OR(F8="",F9=""),"","망내 "&amp;ROUND(F8*F9/100,0)&amp;"분")</f>
        <v>망내 156분</v>
      </c>
      <c r="I8" s="187"/>
      <c r="J8" s="187"/>
      <c r="K8" s="629" t="s">
        <v>129</v>
      </c>
      <c r="L8" s="630"/>
      <c r="M8" s="630"/>
      <c r="N8" s="597" t="str">
        <f>'3사 추천요금제'!K11</f>
        <v>해당사항없음</v>
      </c>
      <c r="O8" s="71"/>
      <c r="P8" s="423">
        <v>500</v>
      </c>
      <c r="Q8" s="424">
        <v>6000</v>
      </c>
      <c r="R8" s="419"/>
      <c r="S8" s="419"/>
      <c r="T8" s="419"/>
      <c r="U8" s="419"/>
      <c r="V8" s="420"/>
      <c r="X8" s="256"/>
    </row>
    <row r="9" spans="1:24" ht="18" customHeight="1">
      <c r="C9" s="187"/>
      <c r="D9" s="631" t="s">
        <v>130</v>
      </c>
      <c r="E9" s="632"/>
      <c r="F9" s="846">
        <f>'3사 추천요금제'!D11</f>
        <v>50</v>
      </c>
      <c r="G9" s="847"/>
      <c r="H9" s="90" t="str">
        <f>IF(OR(F8="",F9=""),"","망외 "&amp;ROUND(F8*(1-F9/100),0)&amp;"분")</f>
        <v>망외 156분</v>
      </c>
      <c r="I9" s="187"/>
      <c r="J9" s="187"/>
      <c r="K9" s="635" t="s">
        <v>131</v>
      </c>
      <c r="L9" s="636"/>
      <c r="M9" s="636"/>
      <c r="N9" s="67" t="str">
        <f>'3사 추천요금제'!K5</f>
        <v>O</v>
      </c>
      <c r="O9" s="71"/>
      <c r="P9" s="423">
        <v>700</v>
      </c>
      <c r="Q9" s="424">
        <v>8000</v>
      </c>
      <c r="R9" s="419"/>
      <c r="S9" s="419"/>
      <c r="T9" s="419"/>
      <c r="U9" s="419"/>
      <c r="V9" s="420"/>
      <c r="X9" s="256"/>
    </row>
    <row r="10" spans="1:24" ht="18" customHeight="1" thickBot="1">
      <c r="C10" s="187"/>
      <c r="D10" s="637" t="s">
        <v>1</v>
      </c>
      <c r="E10" s="638"/>
      <c r="F10" s="846">
        <f>'3사 추천요금제'!D6</f>
        <v>201</v>
      </c>
      <c r="G10" s="847"/>
      <c r="H10" s="187"/>
      <c r="I10" s="187"/>
      <c r="J10" s="187"/>
      <c r="K10" s="639" t="s">
        <v>133</v>
      </c>
      <c r="L10" s="640"/>
      <c r="M10" s="640"/>
      <c r="N10" s="598" t="str">
        <f>'3사 추천요금제'!K6</f>
        <v>X</v>
      </c>
      <c r="O10" s="73"/>
      <c r="P10" s="423">
        <v>1000</v>
      </c>
      <c r="Q10" s="260">
        <v>10000</v>
      </c>
      <c r="R10" s="419"/>
      <c r="S10" s="419"/>
      <c r="T10" s="419"/>
      <c r="U10" s="419"/>
      <c r="V10" s="420"/>
      <c r="X10" s="256"/>
    </row>
    <row r="11" spans="1:24" ht="18" customHeight="1">
      <c r="C11" s="187"/>
      <c r="D11" s="637" t="s">
        <v>134</v>
      </c>
      <c r="E11" s="638"/>
      <c r="F11" s="846">
        <f>'3사 추천요금제'!D7</f>
        <v>2000</v>
      </c>
      <c r="G11" s="847"/>
      <c r="H11" s="187"/>
      <c r="I11" s="187"/>
      <c r="J11" s="187"/>
      <c r="K11" s="643" t="str">
        <f>"데이터이용량 "&amp;F11&amp;"MB 이상만 나열하기"</f>
        <v>데이터이용량 2000MB 이상만 나열하기</v>
      </c>
      <c r="L11" s="644"/>
      <c r="M11" s="644"/>
      <c r="N11" s="599" t="str">
        <f>'3사 추천요금제'!K7</f>
        <v>X</v>
      </c>
      <c r="O11" s="72"/>
      <c r="S11" s="419"/>
      <c r="T11" s="419"/>
      <c r="U11" s="419"/>
      <c r="V11" s="420"/>
      <c r="X11" s="256"/>
    </row>
    <row r="12" spans="1:24" ht="18" customHeight="1" thickBot="1">
      <c r="C12" s="187"/>
      <c r="D12" s="645" t="s">
        <v>135</v>
      </c>
      <c r="E12" s="646"/>
      <c r="F12" s="848">
        <f>'3사 추천요금제'!D8</f>
        <v>0</v>
      </c>
      <c r="G12" s="849"/>
      <c r="H12" s="257">
        <f>VLOOKUP($F$12,$P$5:$Q$10,2)</f>
        <v>0</v>
      </c>
      <c r="I12" s="187"/>
      <c r="J12" s="187"/>
      <c r="K12" s="649" t="s">
        <v>136</v>
      </c>
      <c r="L12" s="650"/>
      <c r="M12" s="650"/>
      <c r="N12" s="598" t="str">
        <f>'3사 추천요금제'!K8</f>
        <v>X</v>
      </c>
      <c r="O12" s="68"/>
      <c r="P12" s="425">
        <f>IF(N12="O",1,0)</f>
        <v>0</v>
      </c>
      <c r="S12" s="419"/>
      <c r="T12" s="419"/>
      <c r="U12" s="419"/>
      <c r="V12" s="420"/>
      <c r="X12" s="256"/>
    </row>
    <row r="13" spans="1:24" ht="17.25" customHeight="1" thickBot="1">
      <c r="C13" s="187"/>
      <c r="D13" s="40" t="s">
        <v>22</v>
      </c>
      <c r="E13" s="187"/>
      <c r="F13" s="187"/>
      <c r="G13" s="197"/>
      <c r="H13" s="188"/>
      <c r="I13" s="187"/>
      <c r="J13" s="187"/>
      <c r="K13" s="187"/>
      <c r="L13" s="187"/>
      <c r="M13" s="68"/>
      <c r="N13" s="68"/>
      <c r="O13" s="68"/>
      <c r="P13" s="425">
        <f>IF(N11="O",2,0)</f>
        <v>0</v>
      </c>
      <c r="Q13" s="425">
        <f>P12+P13</f>
        <v>0</v>
      </c>
      <c r="R13" s="419"/>
      <c r="S13" s="419"/>
      <c r="T13" s="419"/>
      <c r="U13" s="419"/>
      <c r="V13" s="420"/>
      <c r="X13" s="256"/>
    </row>
    <row r="14" spans="1:24">
      <c r="C14" s="651" t="s">
        <v>138</v>
      </c>
      <c r="D14" s="653" t="s">
        <v>3</v>
      </c>
      <c r="E14" s="641" t="s">
        <v>4</v>
      </c>
      <c r="F14" s="641" t="s">
        <v>21</v>
      </c>
      <c r="G14" s="641" t="s">
        <v>5</v>
      </c>
      <c r="H14" s="641" t="s">
        <v>141</v>
      </c>
      <c r="I14" s="467" t="s">
        <v>7</v>
      </c>
      <c r="J14" s="198" t="s">
        <v>8</v>
      </c>
      <c r="K14" s="662" t="s">
        <v>13</v>
      </c>
      <c r="L14" s="664" t="s">
        <v>14</v>
      </c>
      <c r="M14" s="516" t="str">
        <f>M22</f>
        <v>실제요금</v>
      </c>
      <c r="N14" s="666" t="s">
        <v>145</v>
      </c>
      <c r="O14" s="668" t="s">
        <v>146</v>
      </c>
      <c r="P14" s="263"/>
      <c r="Q14" s="263"/>
      <c r="R14" s="263"/>
      <c r="S14" s="263"/>
      <c r="T14" s="263"/>
      <c r="U14" s="263"/>
      <c r="V14" s="420"/>
      <c r="X14" s="256"/>
    </row>
    <row r="15" spans="1:24" ht="17.25" thickBot="1">
      <c r="C15" s="652"/>
      <c r="D15" s="654"/>
      <c r="E15" s="642"/>
      <c r="F15" s="642"/>
      <c r="G15" s="655"/>
      <c r="H15" s="642"/>
      <c r="I15" s="199" t="str">
        <f>IF(N8&lt;60,"온가족("&amp;N8&amp;"%)","(24개월)")</f>
        <v>(24개월)</v>
      </c>
      <c r="J15" s="200" t="s">
        <v>11</v>
      </c>
      <c r="K15" s="663"/>
      <c r="L15" s="665"/>
      <c r="M15" s="515" t="str">
        <f>M23</f>
        <v>(부가세포함)</v>
      </c>
      <c r="N15" s="667"/>
      <c r="O15" s="669"/>
      <c r="P15" s="263"/>
      <c r="Q15" s="263"/>
      <c r="R15" s="263"/>
      <c r="S15" s="263"/>
      <c r="T15" s="263"/>
      <c r="U15" s="263"/>
      <c r="V15" s="420"/>
      <c r="X15" s="256"/>
    </row>
    <row r="16" spans="1:24">
      <c r="A16" s="43"/>
      <c r="B16" s="43"/>
      <c r="C16" s="44">
        <f>IF(COUNT($U$24:$U$83)&gt;=1,VLOOKUP(SMALL($U$24:$U$83,1),$U$24:$U$83,1,FALSE),"")</f>
        <v>1</v>
      </c>
      <c r="D16" s="24" t="str">
        <f>IF($C$16="","",VLOOKUP($C$16,$B$24:$N$83,COLUMN()-1,FALSE))</f>
        <v>T끼리 맞춤형 망외 100분</v>
      </c>
      <c r="E16" s="9">
        <f t="shared" ref="E16:N16" si="0">IF($C$16="","",VLOOKUP($C$16,$B$24:$N$83,COLUMN()-1,FALSE))</f>
        <v>32500</v>
      </c>
      <c r="F16" s="201">
        <f t="shared" si="0"/>
        <v>100</v>
      </c>
      <c r="G16" s="34" t="str">
        <f t="shared" si="0"/>
        <v>무제한</v>
      </c>
      <c r="H16" s="9">
        <f t="shared" si="0"/>
        <v>250</v>
      </c>
      <c r="I16" s="9">
        <f t="shared" si="0"/>
        <v>7200</v>
      </c>
      <c r="J16" s="17">
        <f t="shared" si="0"/>
        <v>27830.000000000004</v>
      </c>
      <c r="K16" s="74">
        <f t="shared" si="0"/>
        <v>5994</v>
      </c>
      <c r="L16" s="75">
        <f t="shared" si="0"/>
        <v>0</v>
      </c>
      <c r="M16" s="10">
        <f t="shared" si="0"/>
        <v>34423.4</v>
      </c>
      <c r="N16" s="11" t="str">
        <f t="shared" si="0"/>
        <v>데이터(1.75GB) 부족</v>
      </c>
      <c r="O16" s="202"/>
      <c r="P16" s="263"/>
      <c r="Q16" s="263"/>
      <c r="R16" s="263"/>
      <c r="S16" s="263"/>
      <c r="T16" s="263"/>
      <c r="U16" s="263"/>
      <c r="V16" s="420"/>
      <c r="X16" s="256"/>
    </row>
    <row r="17" spans="1:24">
      <c r="A17" s="43"/>
      <c r="B17" s="43"/>
      <c r="C17" s="45">
        <f>IF(COUNT($U$24:$U$83)&gt;=2,VLOOKUP(SMALL($U$24:$U$83,2),$U$24:$U$83,1,FALSE),"")</f>
        <v>2</v>
      </c>
      <c r="D17" s="60" t="str">
        <f>IF($C$17="","",VLOOKUP($C$17,$B$24:$N$83,COLUMN()-1,FALSE))</f>
        <v>T끼리 맞춤형 망외 150분</v>
      </c>
      <c r="E17" s="61">
        <f t="shared" ref="E17:N17" si="1">IF($C$17="","",VLOOKUP($C$17,$B$24:$N$83,COLUMN()-1,FALSE))</f>
        <v>38500</v>
      </c>
      <c r="F17" s="203">
        <f t="shared" si="1"/>
        <v>150</v>
      </c>
      <c r="G17" s="62" t="str">
        <f t="shared" si="1"/>
        <v>무제한</v>
      </c>
      <c r="H17" s="61">
        <f t="shared" si="1"/>
        <v>250</v>
      </c>
      <c r="I17" s="61">
        <f t="shared" si="1"/>
        <v>7200</v>
      </c>
      <c r="J17" s="63">
        <f t="shared" si="1"/>
        <v>34430</v>
      </c>
      <c r="K17" s="76">
        <f t="shared" si="1"/>
        <v>594</v>
      </c>
      <c r="L17" s="77">
        <f t="shared" si="1"/>
        <v>0</v>
      </c>
      <c r="M17" s="64">
        <f t="shared" si="1"/>
        <v>35083.4</v>
      </c>
      <c r="N17" s="65" t="str">
        <f t="shared" si="1"/>
        <v>데이터(1.75GB) 부족</v>
      </c>
      <c r="O17" s="66">
        <f>IF(OR(M16="",M17=""),"",M17-M16)</f>
        <v>660</v>
      </c>
      <c r="P17" s="263"/>
      <c r="Q17" s="263"/>
      <c r="R17" s="263"/>
      <c r="S17" s="263"/>
      <c r="T17" s="263"/>
      <c r="U17" s="263"/>
      <c r="V17" s="420"/>
      <c r="X17" s="256"/>
    </row>
    <row r="18" spans="1:24">
      <c r="A18" s="43"/>
      <c r="B18" s="43"/>
      <c r="C18" s="45">
        <f>IF(COUNT($U$24:$U$83)&gt;=3,VLOOKUP(SMALL($U$24:$U$83,3),$U$24:$U$83,1,FALSE),"")</f>
        <v>3</v>
      </c>
      <c r="D18" s="25" t="str">
        <f>IF($C$18="","",VLOOKUP($C$18,$B$24:$N$83,COLUMN()-1,FALSE))</f>
        <v>T끼리 맞춤형 망외 200분</v>
      </c>
      <c r="E18" s="1">
        <f t="shared" ref="E18:N18" si="2">IF($C$18="","",VLOOKUP($C$18,$B$24:$N$83,COLUMN()-1,FALSE))</f>
        <v>45500</v>
      </c>
      <c r="F18" s="204">
        <f t="shared" si="2"/>
        <v>200</v>
      </c>
      <c r="G18" s="35" t="str">
        <f t="shared" si="2"/>
        <v>무제한</v>
      </c>
      <c r="H18" s="1">
        <f t="shared" si="2"/>
        <v>250</v>
      </c>
      <c r="I18" s="1">
        <f t="shared" si="2"/>
        <v>11250</v>
      </c>
      <c r="J18" s="18">
        <f t="shared" si="2"/>
        <v>37675</v>
      </c>
      <c r="K18" s="78">
        <f t="shared" si="2"/>
        <v>0</v>
      </c>
      <c r="L18" s="79">
        <f t="shared" si="2"/>
        <v>0</v>
      </c>
      <c r="M18" s="12">
        <f t="shared" si="2"/>
        <v>37675</v>
      </c>
      <c r="N18" s="13" t="str">
        <f t="shared" si="2"/>
        <v>데이터(1.75GB) 부족</v>
      </c>
      <c r="O18" s="2">
        <f t="shared" ref="O18:O20" si="3">IF(OR(M17="",M18=""),"",M18-M17)</f>
        <v>2591.5999999999985</v>
      </c>
      <c r="P18" s="263"/>
      <c r="Q18" s="263"/>
      <c r="R18" s="263"/>
      <c r="S18" s="263"/>
      <c r="T18" s="263"/>
      <c r="U18" s="263"/>
      <c r="V18" s="420"/>
      <c r="X18" s="256"/>
    </row>
    <row r="19" spans="1:24">
      <c r="A19" s="43"/>
      <c r="B19" s="43"/>
      <c r="C19" s="45">
        <f>IF(COUNT($U$24:$U$83)&gt;=4,VLOOKUP(SMALL($U$24:$U$83,4),$U$24:$U$83,1,FALSE),"")</f>
        <v>4</v>
      </c>
      <c r="D19" s="60" t="str">
        <f>IF($C$19="","",VLOOKUP($C$19,$B$24:$N$83,COLUMN()-1,FALSE))</f>
        <v>T끼리 맞춤형 망외 100분</v>
      </c>
      <c r="E19" s="61">
        <f t="shared" ref="E19:N19" si="4">IF($C$19="","",VLOOKUP($C$19,$B$24:$N$83,COLUMN()-1,FALSE))</f>
        <v>36500</v>
      </c>
      <c r="F19" s="203">
        <f t="shared" si="4"/>
        <v>100</v>
      </c>
      <c r="G19" s="62" t="str">
        <f t="shared" si="4"/>
        <v>무제한</v>
      </c>
      <c r="H19" s="61">
        <f t="shared" si="4"/>
        <v>700</v>
      </c>
      <c r="I19" s="61">
        <f t="shared" si="4"/>
        <v>7200</v>
      </c>
      <c r="J19" s="63">
        <f t="shared" si="4"/>
        <v>32230.000000000004</v>
      </c>
      <c r="K19" s="76">
        <f t="shared" si="4"/>
        <v>5994</v>
      </c>
      <c r="L19" s="77">
        <f t="shared" si="4"/>
        <v>0</v>
      </c>
      <c r="M19" s="64">
        <f t="shared" si="4"/>
        <v>38823.4</v>
      </c>
      <c r="N19" s="65" t="str">
        <f t="shared" si="4"/>
        <v>데이터(1.3GB) 부족</v>
      </c>
      <c r="O19" s="66">
        <f t="shared" si="3"/>
        <v>1148.4000000000015</v>
      </c>
      <c r="P19" s="263"/>
      <c r="Q19" s="263"/>
      <c r="R19" s="263"/>
      <c r="S19" s="263"/>
      <c r="T19" s="263"/>
      <c r="U19" s="263"/>
      <c r="V19" s="420"/>
      <c r="X19" s="256"/>
    </row>
    <row r="20" spans="1:24" ht="17.25" thickBot="1">
      <c r="A20" s="43"/>
      <c r="B20" s="43"/>
      <c r="C20" s="46">
        <f>IF(COUNT($U$24:$U$83)&gt;=5,VLOOKUP(SMALL($U$24:$U$83,5),$U$24:$U$83,1,FALSE),"")</f>
        <v>5</v>
      </c>
      <c r="D20" s="26" t="str">
        <f>IF($C$20="","",VLOOKUP($C$20,$B$24:$N$83,COLUMN()-1,FALSE))</f>
        <v>T끼리 35</v>
      </c>
      <c r="E20" s="3">
        <f t="shared" ref="E20:N20" si="5">IF($C$20="","",VLOOKUP($C$20,$B$24:$N$83,COLUMN()-1,FALSE))</f>
        <v>35000</v>
      </c>
      <c r="F20" s="205">
        <f t="shared" si="5"/>
        <v>80</v>
      </c>
      <c r="G20" s="36" t="str">
        <f t="shared" si="5"/>
        <v>무제한</v>
      </c>
      <c r="H20" s="3">
        <f t="shared" si="5"/>
        <v>550</v>
      </c>
      <c r="I20" s="3">
        <f t="shared" si="5"/>
        <v>7200</v>
      </c>
      <c r="J20" s="19">
        <f t="shared" si="5"/>
        <v>30580.000000000004</v>
      </c>
      <c r="K20" s="80">
        <f t="shared" si="5"/>
        <v>8154</v>
      </c>
      <c r="L20" s="81">
        <f t="shared" si="5"/>
        <v>0</v>
      </c>
      <c r="M20" s="14">
        <f t="shared" si="5"/>
        <v>39549.400000000009</v>
      </c>
      <c r="N20" s="15" t="str">
        <f t="shared" si="5"/>
        <v>데이터(1.45GB) 부족</v>
      </c>
      <c r="O20" s="4">
        <f t="shared" si="3"/>
        <v>726.00000000000728</v>
      </c>
      <c r="P20" s="263"/>
      <c r="Q20" s="263"/>
      <c r="R20" s="263"/>
      <c r="S20" s="263"/>
      <c r="T20" s="263"/>
      <c r="U20" s="263"/>
      <c r="V20" s="420"/>
      <c r="X20" s="256"/>
    </row>
    <row r="21" spans="1:24" ht="23.1" customHeight="1" thickBot="1">
      <c r="C21" s="189"/>
      <c r="D21" s="444" t="str">
        <f>"총 "&amp;COUNTA(D24:D83)&amp;"요금제 중 검색 제외된 요금제는 "&amp;COUNTIF(C24:C83,"O")&amp;"개입니다.  (신규가입 불가능한 요금제는 왼쪽 2번째열에서 O를 선택해주세요)"</f>
        <v>총 60요금제 중 검색 제외된 요금제는 0개입니다.  (신규가입 불가능한 요금제는 왼쪽 2번째열에서 O를 선택해주세요)</v>
      </c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263"/>
      <c r="Q21" s="263"/>
      <c r="R21" s="263"/>
      <c r="S21" s="263"/>
      <c r="T21" s="263"/>
      <c r="U21" s="263"/>
      <c r="V21" s="420"/>
      <c r="X21" s="256"/>
    </row>
    <row r="22" spans="1:24" ht="16.5" customHeight="1">
      <c r="B22" s="187"/>
      <c r="C22" s="614" t="s">
        <v>245</v>
      </c>
      <c r="D22" s="653" t="s">
        <v>3</v>
      </c>
      <c r="E22" s="641" t="s">
        <v>4</v>
      </c>
      <c r="F22" s="641" t="s">
        <v>21</v>
      </c>
      <c r="G22" s="641" t="s">
        <v>5</v>
      </c>
      <c r="H22" s="641" t="s">
        <v>141</v>
      </c>
      <c r="I22" s="467" t="s">
        <v>7</v>
      </c>
      <c r="J22" s="206" t="s">
        <v>8</v>
      </c>
      <c r="K22" s="662" t="s">
        <v>13</v>
      </c>
      <c r="L22" s="664" t="s">
        <v>14</v>
      </c>
      <c r="M22" s="516" t="s">
        <v>244</v>
      </c>
      <c r="N22" s="666" t="s">
        <v>145</v>
      </c>
      <c r="O22" s="675"/>
      <c r="P22" s="263"/>
      <c r="Q22" s="263"/>
      <c r="R22" s="263"/>
      <c r="S22" s="263"/>
      <c r="T22" s="263"/>
      <c r="U22" s="263"/>
      <c r="V22" s="420"/>
      <c r="X22" s="256"/>
    </row>
    <row r="23" spans="1:24" ht="17.25" thickBot="1">
      <c r="B23" s="490" t="s">
        <v>12</v>
      </c>
      <c r="C23" s="615"/>
      <c r="D23" s="656"/>
      <c r="E23" s="657"/>
      <c r="F23" s="657"/>
      <c r="G23" s="658"/>
      <c r="H23" s="657"/>
      <c r="I23" s="207" t="str">
        <f>IF(N8&lt;60,"온가족("&amp;N8&amp;"%)","(24개월)")</f>
        <v>(24개월)</v>
      </c>
      <c r="J23" s="208" t="s">
        <v>11</v>
      </c>
      <c r="K23" s="663"/>
      <c r="L23" s="665"/>
      <c r="M23" s="515" t="str">
        <f>"(부가세"&amp;IF($N$10="O",",복지포함)","포함)")</f>
        <v>(부가세포함)</v>
      </c>
      <c r="N23" s="667"/>
      <c r="O23" s="676"/>
      <c r="P23" s="263"/>
      <c r="Q23" s="263"/>
      <c r="R23" s="425" t="s">
        <v>69</v>
      </c>
      <c r="S23" s="425" t="s">
        <v>145</v>
      </c>
      <c r="T23" s="263" t="s">
        <v>70</v>
      </c>
      <c r="U23" s="425" t="s">
        <v>66</v>
      </c>
      <c r="W23" s="263" t="s">
        <v>244</v>
      </c>
    </row>
    <row r="24" spans="1:24" ht="17.100000000000001" customHeight="1">
      <c r="A24" s="209">
        <v>7200</v>
      </c>
      <c r="B24" s="121">
        <f>IF(C24="O","",RANK(W24,W$24:W$83,1)+COUNTIF($W$24:W24,W24)-1)</f>
        <v>5</v>
      </c>
      <c r="C24" s="491"/>
      <c r="D24" s="122" t="s">
        <v>152</v>
      </c>
      <c r="E24" s="20">
        <v>35000</v>
      </c>
      <c r="F24" s="210">
        <v>80</v>
      </c>
      <c r="G24" s="211" t="s">
        <v>18</v>
      </c>
      <c r="H24" s="212">
        <v>550</v>
      </c>
      <c r="I24" s="20">
        <f t="shared" ref="I24:I83" si="6">IF($N$8&lt;60,E24*$N$8/100,A24)</f>
        <v>7200</v>
      </c>
      <c r="J24" s="52">
        <f t="shared" ref="J24:J63" si="7">IF($N$10="X",(E24-I24)*1.1,(E24-I24)*1.1*0.65)</f>
        <v>30580.000000000004</v>
      </c>
      <c r="K24" s="82">
        <f>IF(F$8*(100-F$9)/100&lt;F24,0,((F$8*(100-F$9)/100)-F24)*60*1.8)*IF($N$10="O",0.65,1)</f>
        <v>8154</v>
      </c>
      <c r="L24" s="83">
        <v>0</v>
      </c>
      <c r="M24" s="53">
        <f>J24+(K24+L24)*1.1</f>
        <v>39549.400000000009</v>
      </c>
      <c r="N24" s="21" t="str">
        <f t="shared" ref="N24:N83" si="8">IF(($F$11-H24)&gt;0,"데이터("&amp;P24/1000&amp;"GB) 부족","")</f>
        <v>데이터(1.45GB) 부족</v>
      </c>
      <c r="O24" s="670" t="s">
        <v>154</v>
      </c>
      <c r="P24" s="426">
        <f t="shared" ref="P24:P83" si="9">$F$11-H24</f>
        <v>1450</v>
      </c>
      <c r="Q24" s="426">
        <f t="shared" ref="Q24:Q83" si="10">B24</f>
        <v>5</v>
      </c>
      <c r="R24" s="263">
        <f t="shared" ref="R24:R38" si="11">B24</f>
        <v>5</v>
      </c>
      <c r="S24" s="263" t="str">
        <f t="shared" ref="S24:S83" si="12">IF($F$11&lt;=H24,B24,"")</f>
        <v/>
      </c>
      <c r="T24" s="263" t="str">
        <f>S24</f>
        <v/>
      </c>
      <c r="U24" s="263">
        <f>VLOOKUP(B24,$B$24:$T$83,$Q$13+16,FALSE)</f>
        <v>5</v>
      </c>
      <c r="W24" s="464">
        <f t="shared" ref="W24:W83" si="13">IF(C24="O","",M24)</f>
        <v>39549.400000000009</v>
      </c>
    </row>
    <row r="25" spans="1:24" ht="17.100000000000001" customHeight="1">
      <c r="A25" s="209">
        <v>11250</v>
      </c>
      <c r="B25" s="466">
        <f>IF(C25="O","",RANK(W25,W$24:W$83,1)+COUNTIF($W$24:W25,W25)-1)</f>
        <v>7</v>
      </c>
      <c r="C25" s="492"/>
      <c r="D25" s="37" t="s">
        <v>155</v>
      </c>
      <c r="E25" s="22">
        <v>45000</v>
      </c>
      <c r="F25" s="213">
        <v>130</v>
      </c>
      <c r="G25" s="214" t="s">
        <v>18</v>
      </c>
      <c r="H25" s="215">
        <v>1100</v>
      </c>
      <c r="I25" s="22">
        <f t="shared" si="6"/>
        <v>11250</v>
      </c>
      <c r="J25" s="38">
        <f t="shared" si="7"/>
        <v>37125</v>
      </c>
      <c r="K25" s="84">
        <f t="shared" ref="K25:K29" si="14">IF(F$8*(100-F$9)/100&lt;F25,0,((F$8*(100-F$9)/100)-F25)*60*1.8)*IF($N$10="O",0.65,1)</f>
        <v>2754</v>
      </c>
      <c r="L25" s="85">
        <v>0</v>
      </c>
      <c r="M25" s="39">
        <f t="shared" ref="M25:M83" si="15">J25+(K25+L25)*1.1</f>
        <v>40154.400000000001</v>
      </c>
      <c r="N25" s="23" t="str">
        <f t="shared" si="8"/>
        <v>데이터(0.9GB) 부족</v>
      </c>
      <c r="O25" s="671"/>
      <c r="P25" s="426">
        <f t="shared" si="9"/>
        <v>900</v>
      </c>
      <c r="Q25" s="426">
        <f t="shared" si="10"/>
        <v>7</v>
      </c>
      <c r="R25" s="263">
        <f t="shared" si="11"/>
        <v>7</v>
      </c>
      <c r="S25" s="263" t="str">
        <f t="shared" si="12"/>
        <v/>
      </c>
      <c r="T25" s="263" t="str">
        <f t="shared" ref="T25:T38" si="16">S25</f>
        <v/>
      </c>
      <c r="U25" s="263">
        <f t="shared" ref="U25:U83" si="17">VLOOKUP(B25,$B$24:$T$83,$Q$13+16,FALSE)</f>
        <v>7</v>
      </c>
      <c r="W25" s="464">
        <f t="shared" si="13"/>
        <v>40154.400000000001</v>
      </c>
    </row>
    <row r="26" spans="1:24" ht="17.100000000000001" customHeight="1">
      <c r="A26" s="209">
        <v>14250</v>
      </c>
      <c r="B26" s="466">
        <f>IF(C26="O","",RANK(W26,W$24:W$83,1)+COUNTIF($W$24:W26,W26)-1)</f>
        <v>14</v>
      </c>
      <c r="C26" s="492"/>
      <c r="D26" s="37" t="s">
        <v>156</v>
      </c>
      <c r="E26" s="22">
        <v>55000</v>
      </c>
      <c r="F26" s="213">
        <v>180</v>
      </c>
      <c r="G26" s="214" t="s">
        <v>18</v>
      </c>
      <c r="H26" s="215">
        <v>2000</v>
      </c>
      <c r="I26" s="22">
        <f t="shared" si="6"/>
        <v>14250</v>
      </c>
      <c r="J26" s="38">
        <f t="shared" si="7"/>
        <v>44825</v>
      </c>
      <c r="K26" s="84">
        <f t="shared" si="14"/>
        <v>0</v>
      </c>
      <c r="L26" s="85">
        <v>0</v>
      </c>
      <c r="M26" s="39">
        <f t="shared" si="15"/>
        <v>44825</v>
      </c>
      <c r="N26" s="23" t="str">
        <f t="shared" si="8"/>
        <v/>
      </c>
      <c r="O26" s="671"/>
      <c r="P26" s="426">
        <f t="shared" si="9"/>
        <v>0</v>
      </c>
      <c r="Q26" s="426">
        <f t="shared" si="10"/>
        <v>14</v>
      </c>
      <c r="R26" s="263">
        <f t="shared" si="11"/>
        <v>14</v>
      </c>
      <c r="S26" s="263">
        <f t="shared" si="12"/>
        <v>14</v>
      </c>
      <c r="T26" s="263">
        <f t="shared" si="16"/>
        <v>14</v>
      </c>
      <c r="U26" s="263">
        <f t="shared" si="17"/>
        <v>14</v>
      </c>
      <c r="W26" s="464">
        <f t="shared" si="13"/>
        <v>44825</v>
      </c>
    </row>
    <row r="27" spans="1:24" ht="17.100000000000001" customHeight="1">
      <c r="A27" s="209">
        <v>16750</v>
      </c>
      <c r="B27" s="466">
        <f>IF(C27="O","",RANK(W27,W$24:W$83,1)+COUNTIF($W$24:W27,W27)-1)</f>
        <v>34</v>
      </c>
      <c r="C27" s="492"/>
      <c r="D27" s="37" t="s">
        <v>157</v>
      </c>
      <c r="E27" s="22">
        <v>65000</v>
      </c>
      <c r="F27" s="213">
        <v>280</v>
      </c>
      <c r="G27" s="214" t="s">
        <v>18</v>
      </c>
      <c r="H27" s="215">
        <v>5000</v>
      </c>
      <c r="I27" s="22">
        <f t="shared" si="6"/>
        <v>16750</v>
      </c>
      <c r="J27" s="38">
        <f t="shared" si="7"/>
        <v>53075.000000000007</v>
      </c>
      <c r="K27" s="84">
        <f t="shared" si="14"/>
        <v>0</v>
      </c>
      <c r="L27" s="85">
        <v>0</v>
      </c>
      <c r="M27" s="39">
        <f t="shared" si="15"/>
        <v>53075.000000000007</v>
      </c>
      <c r="N27" s="23" t="str">
        <f t="shared" si="8"/>
        <v/>
      </c>
      <c r="O27" s="671"/>
      <c r="P27" s="426">
        <f t="shared" si="9"/>
        <v>-3000</v>
      </c>
      <c r="Q27" s="426">
        <f t="shared" si="10"/>
        <v>34</v>
      </c>
      <c r="R27" s="263">
        <f t="shared" si="11"/>
        <v>34</v>
      </c>
      <c r="S27" s="263">
        <f t="shared" si="12"/>
        <v>34</v>
      </c>
      <c r="T27" s="263">
        <f t="shared" si="16"/>
        <v>34</v>
      </c>
      <c r="U27" s="263">
        <f t="shared" si="17"/>
        <v>34</v>
      </c>
      <c r="W27" s="464">
        <f t="shared" si="13"/>
        <v>53075.000000000007</v>
      </c>
    </row>
    <row r="28" spans="1:24" ht="17.100000000000001" customHeight="1" thickBot="1">
      <c r="A28" s="209">
        <v>17500</v>
      </c>
      <c r="B28" s="466">
        <f>IF(C28="O","",RANK(W28,W$24:W$83,1)+COUNTIF($W$24:W28,W28)-1)</f>
        <v>41</v>
      </c>
      <c r="C28" s="493"/>
      <c r="D28" s="265" t="s">
        <v>219</v>
      </c>
      <c r="E28" s="161">
        <v>69000</v>
      </c>
      <c r="F28" s="266" t="s">
        <v>158</v>
      </c>
      <c r="G28" s="267" t="s">
        <v>18</v>
      </c>
      <c r="H28" s="268">
        <v>5000</v>
      </c>
      <c r="I28" s="161">
        <f t="shared" si="6"/>
        <v>17500</v>
      </c>
      <c r="J28" s="162">
        <f t="shared" si="7"/>
        <v>56650.000000000007</v>
      </c>
      <c r="K28" s="88">
        <f t="shared" si="14"/>
        <v>0</v>
      </c>
      <c r="L28" s="100">
        <v>0</v>
      </c>
      <c r="M28" s="163">
        <f t="shared" si="15"/>
        <v>56650.000000000007</v>
      </c>
      <c r="N28" s="164" t="str">
        <f t="shared" si="8"/>
        <v/>
      </c>
      <c r="O28" s="671"/>
      <c r="P28" s="426">
        <f t="shared" si="9"/>
        <v>-3000</v>
      </c>
      <c r="Q28" s="426">
        <f t="shared" si="10"/>
        <v>41</v>
      </c>
      <c r="R28" s="263">
        <f t="shared" si="11"/>
        <v>41</v>
      </c>
      <c r="S28" s="263">
        <f t="shared" si="12"/>
        <v>41</v>
      </c>
      <c r="T28" s="263">
        <f t="shared" si="16"/>
        <v>41</v>
      </c>
      <c r="U28" s="263">
        <f t="shared" si="17"/>
        <v>41</v>
      </c>
      <c r="W28" s="464">
        <f t="shared" si="13"/>
        <v>56650.000000000007</v>
      </c>
    </row>
    <row r="29" spans="1:24" ht="17.100000000000001" customHeight="1">
      <c r="A29" s="209">
        <v>18750</v>
      </c>
      <c r="B29" s="466">
        <f>IF(C29="O","",RANK(W29,W$24:W$83,1)+COUNTIF($W$24:W29,W29)-1)</f>
        <v>55</v>
      </c>
      <c r="C29" s="491"/>
      <c r="D29" s="269" t="s">
        <v>220</v>
      </c>
      <c r="E29" s="20">
        <v>80000</v>
      </c>
      <c r="F29" s="238" t="s">
        <v>158</v>
      </c>
      <c r="G29" s="211" t="s">
        <v>18</v>
      </c>
      <c r="H29" s="270" t="s">
        <v>15</v>
      </c>
      <c r="I29" s="20">
        <f>IF($N$8&lt;60,75000*$N$8/100,A29)</f>
        <v>18750</v>
      </c>
      <c r="J29" s="52">
        <f>IF($N$10="X",(E29-I29)*1.1,(E29-I29)*1.1*0.65)</f>
        <v>67375</v>
      </c>
      <c r="K29" s="82">
        <f t="shared" si="14"/>
        <v>0</v>
      </c>
      <c r="L29" s="83">
        <v>0</v>
      </c>
      <c r="M29" s="53">
        <f t="shared" si="15"/>
        <v>67375</v>
      </c>
      <c r="N29" s="21"/>
      <c r="O29" s="672" t="s">
        <v>223</v>
      </c>
      <c r="P29" s="426">
        <v>1</v>
      </c>
      <c r="Q29" s="426">
        <f t="shared" si="10"/>
        <v>55</v>
      </c>
      <c r="R29" s="263">
        <f t="shared" si="11"/>
        <v>55</v>
      </c>
      <c r="S29" s="263">
        <f t="shared" si="12"/>
        <v>55</v>
      </c>
      <c r="T29" s="263">
        <f t="shared" si="16"/>
        <v>55</v>
      </c>
      <c r="U29" s="263">
        <f t="shared" si="17"/>
        <v>55</v>
      </c>
      <c r="W29" s="464">
        <f t="shared" si="13"/>
        <v>67375</v>
      </c>
    </row>
    <row r="30" spans="1:24" ht="17.100000000000001" customHeight="1">
      <c r="A30" s="209">
        <v>20000</v>
      </c>
      <c r="B30" s="466">
        <f>IF(C30="O","",RANK(W30,W$24:W$83,1)+COUNTIF($W$24:W30,W30)-1)</f>
        <v>57</v>
      </c>
      <c r="C30" s="492"/>
      <c r="D30" s="175" t="s">
        <v>221</v>
      </c>
      <c r="E30" s="22">
        <v>85000</v>
      </c>
      <c r="F30" s="216" t="s">
        <v>38</v>
      </c>
      <c r="G30" s="214" t="s">
        <v>18</v>
      </c>
      <c r="H30" s="271" t="s">
        <v>15</v>
      </c>
      <c r="I30" s="22">
        <f t="shared" si="6"/>
        <v>20000</v>
      </c>
      <c r="J30" s="38">
        <f t="shared" si="7"/>
        <v>71500</v>
      </c>
      <c r="K30" s="84">
        <v>0</v>
      </c>
      <c r="L30" s="85">
        <v>0</v>
      </c>
      <c r="M30" s="39">
        <f t="shared" si="15"/>
        <v>71500</v>
      </c>
      <c r="N30" s="23"/>
      <c r="O30" s="673"/>
      <c r="P30" s="426">
        <v>1</v>
      </c>
      <c r="Q30" s="426">
        <f t="shared" si="10"/>
        <v>57</v>
      </c>
      <c r="R30" s="263">
        <f t="shared" si="11"/>
        <v>57</v>
      </c>
      <c r="S30" s="263">
        <f t="shared" si="12"/>
        <v>57</v>
      </c>
      <c r="T30" s="263">
        <f t="shared" si="16"/>
        <v>57</v>
      </c>
      <c r="U30" s="263">
        <f t="shared" si="17"/>
        <v>57</v>
      </c>
      <c r="W30" s="464">
        <f t="shared" si="13"/>
        <v>71500</v>
      </c>
    </row>
    <row r="31" spans="1:24" ht="17.100000000000001" customHeight="1" thickBot="1">
      <c r="A31" s="209">
        <v>24000</v>
      </c>
      <c r="B31" s="466">
        <f>IF(C31="O","",RANK(W31,W$24:W$83,1)+COUNTIF($W$24:W31,W31)-1)</f>
        <v>59</v>
      </c>
      <c r="C31" s="494"/>
      <c r="D31" s="177" t="s">
        <v>222</v>
      </c>
      <c r="E31" s="54">
        <v>100000</v>
      </c>
      <c r="F31" s="217" t="s">
        <v>38</v>
      </c>
      <c r="G31" s="218" t="s">
        <v>18</v>
      </c>
      <c r="H31" s="272" t="s">
        <v>15</v>
      </c>
      <c r="I31" s="54">
        <f t="shared" si="6"/>
        <v>24000</v>
      </c>
      <c r="J31" s="55">
        <f t="shared" si="7"/>
        <v>83600</v>
      </c>
      <c r="K31" s="86">
        <v>0</v>
      </c>
      <c r="L31" s="87">
        <v>0</v>
      </c>
      <c r="M31" s="56">
        <f t="shared" si="15"/>
        <v>83600</v>
      </c>
      <c r="N31" s="57"/>
      <c r="O31" s="674"/>
      <c r="P31" s="426">
        <v>1</v>
      </c>
      <c r="Q31" s="426">
        <f t="shared" si="10"/>
        <v>59</v>
      </c>
      <c r="R31" s="263">
        <f t="shared" si="11"/>
        <v>59</v>
      </c>
      <c r="S31" s="263">
        <f t="shared" si="12"/>
        <v>59</v>
      </c>
      <c r="T31" s="263">
        <f t="shared" si="16"/>
        <v>59</v>
      </c>
      <c r="U31" s="263">
        <f t="shared" si="17"/>
        <v>59</v>
      </c>
      <c r="W31" s="464">
        <f t="shared" si="13"/>
        <v>83600</v>
      </c>
    </row>
    <row r="32" spans="1:24" ht="17.100000000000001" customHeight="1">
      <c r="A32" s="219">
        <v>7000</v>
      </c>
      <c r="B32" s="466">
        <f>IF(C32="O","",RANK(W32,W$24:W$83,1)+COUNTIF($W$24:W32,W32)-1)</f>
        <v>33</v>
      </c>
      <c r="C32" s="495"/>
      <c r="D32" s="148" t="s">
        <v>160</v>
      </c>
      <c r="E32" s="16">
        <v>34000</v>
      </c>
      <c r="F32" s="220">
        <v>120</v>
      </c>
      <c r="G32" s="221">
        <v>200</v>
      </c>
      <c r="H32" s="222">
        <v>800</v>
      </c>
      <c r="I32" s="20">
        <f t="shared" si="6"/>
        <v>7000</v>
      </c>
      <c r="J32" s="52">
        <f t="shared" si="7"/>
        <v>29700.000000000004</v>
      </c>
      <c r="K32" s="82">
        <f>IF(OR($F$8="",$F$8&lt;$F32),0,($F$8-F32)*60*1.8)*IF($N$10="O",0.65,1)</f>
        <v>20628</v>
      </c>
      <c r="L32" s="83">
        <f>IF($F$10&lt;$G32,0,($F$10-G32)*20)*IF($N$10="O",0.65,1)</f>
        <v>20</v>
      </c>
      <c r="M32" s="53">
        <f t="shared" si="15"/>
        <v>52412.800000000003</v>
      </c>
      <c r="N32" s="21" t="str">
        <f t="shared" si="8"/>
        <v>데이터(1.2GB) 부족</v>
      </c>
      <c r="O32" s="659" t="s">
        <v>161</v>
      </c>
      <c r="P32" s="426">
        <f t="shared" si="9"/>
        <v>1200</v>
      </c>
      <c r="Q32" s="426">
        <f t="shared" si="10"/>
        <v>33</v>
      </c>
      <c r="R32" s="263">
        <f t="shared" si="11"/>
        <v>33</v>
      </c>
      <c r="S32" s="263" t="str">
        <f t="shared" si="12"/>
        <v/>
      </c>
      <c r="T32" s="263" t="str">
        <f t="shared" si="16"/>
        <v/>
      </c>
      <c r="U32" s="263">
        <f t="shared" si="17"/>
        <v>33</v>
      </c>
      <c r="W32" s="464">
        <f t="shared" si="13"/>
        <v>52412.800000000003</v>
      </c>
    </row>
    <row r="33" spans="1:23" ht="17.100000000000001" customHeight="1">
      <c r="A33" s="219">
        <v>10500</v>
      </c>
      <c r="B33" s="466">
        <f>IF(C33="O","",RANK(W33,W$24:W$83,1)+COUNTIF($W$24:W33,W33)-1)</f>
        <v>27</v>
      </c>
      <c r="C33" s="496"/>
      <c r="D33" s="5" t="s">
        <v>162</v>
      </c>
      <c r="E33" s="6">
        <v>42000</v>
      </c>
      <c r="F33" s="223">
        <v>180</v>
      </c>
      <c r="G33" s="224">
        <v>200</v>
      </c>
      <c r="H33" s="225">
        <v>1600</v>
      </c>
      <c r="I33" s="22">
        <f t="shared" si="6"/>
        <v>10500</v>
      </c>
      <c r="J33" s="38">
        <f t="shared" si="7"/>
        <v>34650</v>
      </c>
      <c r="K33" s="84">
        <f t="shared" ref="K33:K38" si="18">IF(OR($F$8="",$F$8&lt;$F33),0,($F$8-F33)*60*1.8)*IF($N$10="O",0.65,1)</f>
        <v>14148</v>
      </c>
      <c r="L33" s="85">
        <f t="shared" ref="L33:L38" si="19">IF($F$10&lt;$G33,0,($F$10-G33)*20)*IF($N$10="O",0.65,1)</f>
        <v>20</v>
      </c>
      <c r="M33" s="39">
        <f t="shared" si="15"/>
        <v>50234.8</v>
      </c>
      <c r="N33" s="23" t="str">
        <f t="shared" si="8"/>
        <v>데이터(0.4GB) 부족</v>
      </c>
      <c r="O33" s="660"/>
      <c r="P33" s="426">
        <f t="shared" si="9"/>
        <v>400</v>
      </c>
      <c r="Q33" s="426">
        <f t="shared" si="10"/>
        <v>27</v>
      </c>
      <c r="R33" s="263">
        <f t="shared" si="11"/>
        <v>27</v>
      </c>
      <c r="S33" s="263" t="str">
        <f t="shared" si="12"/>
        <v/>
      </c>
      <c r="T33" s="263" t="str">
        <f t="shared" si="16"/>
        <v/>
      </c>
      <c r="U33" s="263">
        <f t="shared" si="17"/>
        <v>27</v>
      </c>
      <c r="W33" s="464">
        <f t="shared" si="13"/>
        <v>50234.8</v>
      </c>
    </row>
    <row r="34" spans="1:23" ht="17.100000000000001" customHeight="1">
      <c r="A34" s="219">
        <v>13500</v>
      </c>
      <c r="B34" s="466">
        <f>IF(C34="O","",RANK(W34,W$24:W$83,1)+COUNTIF($W$24:W34,W34)-1)</f>
        <v>24</v>
      </c>
      <c r="C34" s="496"/>
      <c r="D34" s="5" t="s">
        <v>163</v>
      </c>
      <c r="E34" s="6">
        <v>52000</v>
      </c>
      <c r="F34" s="223">
        <v>250</v>
      </c>
      <c r="G34" s="224">
        <v>250</v>
      </c>
      <c r="H34" s="225">
        <v>2600</v>
      </c>
      <c r="I34" s="22">
        <f t="shared" si="6"/>
        <v>13500</v>
      </c>
      <c r="J34" s="38">
        <f t="shared" si="7"/>
        <v>42350</v>
      </c>
      <c r="K34" s="84">
        <f t="shared" si="18"/>
        <v>6588</v>
      </c>
      <c r="L34" s="85">
        <f t="shared" si="19"/>
        <v>0</v>
      </c>
      <c r="M34" s="39">
        <f t="shared" si="15"/>
        <v>49596.800000000003</v>
      </c>
      <c r="N34" s="23" t="str">
        <f t="shared" si="8"/>
        <v/>
      </c>
      <c r="O34" s="660"/>
      <c r="P34" s="426">
        <f t="shared" si="9"/>
        <v>-600</v>
      </c>
      <c r="Q34" s="426">
        <f t="shared" si="10"/>
        <v>24</v>
      </c>
      <c r="R34" s="263">
        <f t="shared" si="11"/>
        <v>24</v>
      </c>
      <c r="S34" s="263">
        <f t="shared" si="12"/>
        <v>24</v>
      </c>
      <c r="T34" s="263">
        <f t="shared" si="16"/>
        <v>24</v>
      </c>
      <c r="U34" s="263">
        <f t="shared" si="17"/>
        <v>24</v>
      </c>
      <c r="W34" s="464">
        <f t="shared" si="13"/>
        <v>49596.800000000003</v>
      </c>
    </row>
    <row r="35" spans="1:23" ht="17.100000000000001" customHeight="1">
      <c r="A35" s="219">
        <v>16000</v>
      </c>
      <c r="B35" s="466">
        <f>IF(C35="O","",RANK(W35,W$24:W$83,1)+COUNTIF($W$24:W35,W35)-1)</f>
        <v>29</v>
      </c>
      <c r="C35" s="496"/>
      <c r="D35" s="5" t="s">
        <v>90</v>
      </c>
      <c r="E35" s="6">
        <v>62000</v>
      </c>
      <c r="F35" s="223">
        <v>350</v>
      </c>
      <c r="G35" s="224">
        <v>350</v>
      </c>
      <c r="H35" s="225">
        <v>5000</v>
      </c>
      <c r="I35" s="22">
        <f t="shared" si="6"/>
        <v>16000</v>
      </c>
      <c r="J35" s="38">
        <f t="shared" si="7"/>
        <v>50600.000000000007</v>
      </c>
      <c r="K35" s="84">
        <f t="shared" si="18"/>
        <v>0</v>
      </c>
      <c r="L35" s="85">
        <f t="shared" si="19"/>
        <v>0</v>
      </c>
      <c r="M35" s="39">
        <f t="shared" si="15"/>
        <v>50600.000000000007</v>
      </c>
      <c r="N35" s="23" t="str">
        <f t="shared" si="8"/>
        <v/>
      </c>
      <c r="O35" s="660"/>
      <c r="P35" s="426">
        <f t="shared" si="9"/>
        <v>-3000</v>
      </c>
      <c r="Q35" s="426">
        <f t="shared" si="10"/>
        <v>29</v>
      </c>
      <c r="R35" s="263">
        <f t="shared" si="11"/>
        <v>29</v>
      </c>
      <c r="S35" s="263">
        <f t="shared" si="12"/>
        <v>29</v>
      </c>
      <c r="T35" s="263">
        <f t="shared" si="16"/>
        <v>29</v>
      </c>
      <c r="U35" s="263">
        <f t="shared" si="17"/>
        <v>29</v>
      </c>
      <c r="W35" s="464">
        <f t="shared" si="13"/>
        <v>50600.000000000007</v>
      </c>
    </row>
    <row r="36" spans="1:23" ht="17.100000000000001" customHeight="1">
      <c r="A36" s="219">
        <v>18000</v>
      </c>
      <c r="B36" s="466">
        <f>IF(C36="O","",RANK(W36,W$24:W$83,1)+COUNTIF($W$24:W36,W36)-1)</f>
        <v>47</v>
      </c>
      <c r="C36" s="496"/>
      <c r="D36" s="5" t="s">
        <v>91</v>
      </c>
      <c r="E36" s="6">
        <v>72000</v>
      </c>
      <c r="F36" s="223">
        <v>450</v>
      </c>
      <c r="G36" s="596">
        <v>450</v>
      </c>
      <c r="H36" s="225">
        <v>9000</v>
      </c>
      <c r="I36" s="22">
        <f t="shared" si="6"/>
        <v>18000</v>
      </c>
      <c r="J36" s="38">
        <f t="shared" si="7"/>
        <v>59400.000000000007</v>
      </c>
      <c r="K36" s="84">
        <f t="shared" si="18"/>
        <v>0</v>
      </c>
      <c r="L36" s="85">
        <f t="shared" si="19"/>
        <v>0</v>
      </c>
      <c r="M36" s="39">
        <f t="shared" si="15"/>
        <v>59400.000000000007</v>
      </c>
      <c r="N36" s="23" t="str">
        <f t="shared" si="8"/>
        <v/>
      </c>
      <c r="O36" s="660"/>
      <c r="P36" s="426">
        <f t="shared" si="9"/>
        <v>-7000</v>
      </c>
      <c r="Q36" s="426">
        <f t="shared" si="10"/>
        <v>47</v>
      </c>
      <c r="R36" s="263">
        <f t="shared" si="11"/>
        <v>47</v>
      </c>
      <c r="S36" s="263">
        <f t="shared" si="12"/>
        <v>47</v>
      </c>
      <c r="T36" s="263">
        <f t="shared" si="16"/>
        <v>47</v>
      </c>
      <c r="U36" s="263">
        <f t="shared" si="17"/>
        <v>47</v>
      </c>
      <c r="W36" s="464">
        <f t="shared" si="13"/>
        <v>59400.000000000007</v>
      </c>
    </row>
    <row r="37" spans="1:23" ht="17.100000000000001" customHeight="1">
      <c r="A37" s="219">
        <v>20000</v>
      </c>
      <c r="B37" s="466">
        <f>IF(C37="O","",RANK(W37,W$24:W$83,1)+COUNTIF($W$24:W37,W37)-1)</f>
        <v>58</v>
      </c>
      <c r="C37" s="496"/>
      <c r="D37" s="5" t="s">
        <v>164</v>
      </c>
      <c r="E37" s="6">
        <v>85000</v>
      </c>
      <c r="F37" s="223">
        <v>650</v>
      </c>
      <c r="G37" s="224">
        <v>650</v>
      </c>
      <c r="H37" s="225">
        <v>13000</v>
      </c>
      <c r="I37" s="22">
        <f t="shared" si="6"/>
        <v>20000</v>
      </c>
      <c r="J37" s="38">
        <f t="shared" si="7"/>
        <v>71500</v>
      </c>
      <c r="K37" s="84">
        <f t="shared" si="18"/>
        <v>0</v>
      </c>
      <c r="L37" s="85">
        <f t="shared" si="19"/>
        <v>0</v>
      </c>
      <c r="M37" s="39">
        <f t="shared" si="15"/>
        <v>71500</v>
      </c>
      <c r="N37" s="23" t="str">
        <f t="shared" si="8"/>
        <v/>
      </c>
      <c r="O37" s="660"/>
      <c r="P37" s="426">
        <f t="shared" si="9"/>
        <v>-11000</v>
      </c>
      <c r="Q37" s="426">
        <f t="shared" si="10"/>
        <v>58</v>
      </c>
      <c r="R37" s="263">
        <f t="shared" si="11"/>
        <v>58</v>
      </c>
      <c r="S37" s="263">
        <f t="shared" si="12"/>
        <v>58</v>
      </c>
      <c r="T37" s="263">
        <f t="shared" si="16"/>
        <v>58</v>
      </c>
      <c r="U37" s="263">
        <f t="shared" si="17"/>
        <v>58</v>
      </c>
      <c r="W37" s="464">
        <f t="shared" si="13"/>
        <v>71500</v>
      </c>
    </row>
    <row r="38" spans="1:23" ht="17.100000000000001" customHeight="1" thickBot="1">
      <c r="A38" s="219">
        <v>24000</v>
      </c>
      <c r="B38" s="466">
        <f>IF(C38="O","",RANK(W38,W$24:W$83,1)+COUNTIF($W$24:W38,W38)-1)</f>
        <v>60</v>
      </c>
      <c r="C38" s="497"/>
      <c r="D38" s="7" t="s">
        <v>165</v>
      </c>
      <c r="E38" s="8">
        <v>100000</v>
      </c>
      <c r="F38" s="226">
        <v>1050</v>
      </c>
      <c r="G38" s="227">
        <v>1050</v>
      </c>
      <c r="H38" s="228">
        <v>18000</v>
      </c>
      <c r="I38" s="54">
        <f t="shared" si="6"/>
        <v>24000</v>
      </c>
      <c r="J38" s="55">
        <f t="shared" si="7"/>
        <v>83600</v>
      </c>
      <c r="K38" s="86">
        <f t="shared" si="18"/>
        <v>0</v>
      </c>
      <c r="L38" s="87">
        <f t="shared" si="19"/>
        <v>0</v>
      </c>
      <c r="M38" s="56">
        <f t="shared" si="15"/>
        <v>83600</v>
      </c>
      <c r="N38" s="57" t="str">
        <f t="shared" si="8"/>
        <v/>
      </c>
      <c r="O38" s="661"/>
      <c r="P38" s="426">
        <f t="shared" si="9"/>
        <v>-16000</v>
      </c>
      <c r="Q38" s="426">
        <f t="shared" si="10"/>
        <v>60</v>
      </c>
      <c r="R38" s="263">
        <f t="shared" si="11"/>
        <v>60</v>
      </c>
      <c r="S38" s="263">
        <f t="shared" si="12"/>
        <v>60</v>
      </c>
      <c r="T38" s="263">
        <f t="shared" si="16"/>
        <v>60</v>
      </c>
      <c r="U38" s="263">
        <f t="shared" si="17"/>
        <v>60</v>
      </c>
      <c r="W38" s="464">
        <f t="shared" si="13"/>
        <v>83600</v>
      </c>
    </row>
    <row r="39" spans="1:23" ht="17.100000000000001" customHeight="1">
      <c r="A39" s="229">
        <v>7200</v>
      </c>
      <c r="B39" s="466">
        <f>IF(C39="O","",RANK(W39,W$24:W$83,1)+COUNTIF($W$24:W39,W39)-1)</f>
        <v>1</v>
      </c>
      <c r="C39" s="498"/>
      <c r="D39" s="230" t="s">
        <v>166</v>
      </c>
      <c r="E39" s="231">
        <v>32500</v>
      </c>
      <c r="F39" s="220">
        <v>100</v>
      </c>
      <c r="G39" s="221" t="s">
        <v>18</v>
      </c>
      <c r="H39" s="16">
        <v>250</v>
      </c>
      <c r="I39" s="16">
        <f t="shared" si="6"/>
        <v>7200</v>
      </c>
      <c r="J39" s="27">
        <f t="shared" si="7"/>
        <v>27830.000000000004</v>
      </c>
      <c r="K39" s="82">
        <f>IF(F$8*(100-F$9)/100&lt;F39,0,((F$8*(100-F$9)/100)-F39)*60*1.8)*IF($N$10="O",0.65,1)</f>
        <v>5994</v>
      </c>
      <c r="L39" s="83">
        <v>0</v>
      </c>
      <c r="M39" s="53">
        <f t="shared" si="15"/>
        <v>34423.4</v>
      </c>
      <c r="N39" s="30" t="str">
        <f t="shared" si="8"/>
        <v>데이터(1.75GB) 부족</v>
      </c>
      <c r="O39" s="680" t="s">
        <v>167</v>
      </c>
      <c r="P39" s="263">
        <f t="shared" si="9"/>
        <v>1750</v>
      </c>
      <c r="Q39" s="426">
        <f t="shared" si="10"/>
        <v>1</v>
      </c>
      <c r="R39" s="263">
        <f>IF(B39=SMALL(B$39:B$43,1),B39,"")</f>
        <v>1</v>
      </c>
      <c r="S39" s="263" t="str">
        <f t="shared" si="12"/>
        <v/>
      </c>
      <c r="T39" s="263" t="str">
        <f>IF(S39="","",IF(B39=SMALL(S$39:S$43,1),B39,""))</f>
        <v/>
      </c>
      <c r="U39" s="263">
        <f t="shared" si="17"/>
        <v>1</v>
      </c>
      <c r="W39" s="464">
        <f t="shared" si="13"/>
        <v>34423.4</v>
      </c>
    </row>
    <row r="40" spans="1:23" ht="17.100000000000001" customHeight="1">
      <c r="A40" s="229">
        <v>7200</v>
      </c>
      <c r="B40" s="466">
        <f>IF(C40="O","",RANK(W40,W$24:W$83,1)+COUNTIF($W$24:W40,W40)-1)</f>
        <v>4</v>
      </c>
      <c r="C40" s="485"/>
      <c r="D40" s="232" t="s">
        <v>166</v>
      </c>
      <c r="E40" s="233">
        <v>36500</v>
      </c>
      <c r="F40" s="223">
        <v>100</v>
      </c>
      <c r="G40" s="224" t="s">
        <v>18</v>
      </c>
      <c r="H40" s="6">
        <v>700</v>
      </c>
      <c r="I40" s="6">
        <f t="shared" si="6"/>
        <v>7200</v>
      </c>
      <c r="J40" s="28">
        <f t="shared" si="7"/>
        <v>32230.000000000004</v>
      </c>
      <c r="K40" s="84">
        <f t="shared" ref="K40:K43" si="20">IF(F$8*(100-F$9)/100&lt;F40,0,((F$8*(100-F$9)/100)-F40)*60*1.8)*IF($N$10="O",0.65,1)</f>
        <v>5994</v>
      </c>
      <c r="L40" s="85">
        <v>0</v>
      </c>
      <c r="M40" s="58">
        <f t="shared" si="15"/>
        <v>38823.4</v>
      </c>
      <c r="N40" s="31" t="str">
        <f t="shared" si="8"/>
        <v>데이터(1.3GB) 부족</v>
      </c>
      <c r="O40" s="681"/>
      <c r="P40" s="263">
        <f t="shared" si="9"/>
        <v>1300</v>
      </c>
      <c r="Q40" s="426">
        <f t="shared" si="10"/>
        <v>4</v>
      </c>
      <c r="R40" s="263" t="str">
        <f>IF(B40=SMALL(B$39:B$43,1),B40,"")</f>
        <v/>
      </c>
      <c r="S40" s="263" t="str">
        <f t="shared" si="12"/>
        <v/>
      </c>
      <c r="T40" s="263" t="str">
        <f>IF(S40="","",IF(B40=SMALL(S$39:S$43,1),B40,""))</f>
        <v/>
      </c>
      <c r="U40" s="263">
        <f t="shared" si="17"/>
        <v>4</v>
      </c>
      <c r="W40" s="464">
        <f t="shared" si="13"/>
        <v>38823.4</v>
      </c>
    </row>
    <row r="41" spans="1:23" ht="17.100000000000001" customHeight="1">
      <c r="A41" s="229">
        <v>7200</v>
      </c>
      <c r="B41" s="466">
        <f>IF(C41="O","",RANK(W41,W$24:W$83,1)+COUNTIF($W$24:W41,W41)-1)</f>
        <v>8</v>
      </c>
      <c r="C41" s="485"/>
      <c r="D41" s="232" t="s">
        <v>166</v>
      </c>
      <c r="E41" s="233">
        <v>38500</v>
      </c>
      <c r="F41" s="223">
        <v>100</v>
      </c>
      <c r="G41" s="224" t="s">
        <v>18</v>
      </c>
      <c r="H41" s="6">
        <v>1500</v>
      </c>
      <c r="I41" s="6">
        <f t="shared" si="6"/>
        <v>7200</v>
      </c>
      <c r="J41" s="28">
        <f t="shared" si="7"/>
        <v>34430</v>
      </c>
      <c r="K41" s="84">
        <f t="shared" si="20"/>
        <v>5994</v>
      </c>
      <c r="L41" s="85">
        <v>0</v>
      </c>
      <c r="M41" s="58">
        <f t="shared" si="15"/>
        <v>41023.4</v>
      </c>
      <c r="N41" s="31" t="str">
        <f t="shared" si="8"/>
        <v>데이터(0.5GB) 부족</v>
      </c>
      <c r="O41" s="681"/>
      <c r="P41" s="263">
        <f t="shared" si="9"/>
        <v>500</v>
      </c>
      <c r="Q41" s="426">
        <f t="shared" si="10"/>
        <v>8</v>
      </c>
      <c r="R41" s="263" t="str">
        <f>IF(B41=SMALL(B$39:B$43,1),B41,"")</f>
        <v/>
      </c>
      <c r="S41" s="263" t="str">
        <f t="shared" si="12"/>
        <v/>
      </c>
      <c r="T41" s="263" t="str">
        <f>IF(S41="","",IF(B41=SMALL(S$39:S$43,1),B41,""))</f>
        <v/>
      </c>
      <c r="U41" s="263">
        <f t="shared" si="17"/>
        <v>8</v>
      </c>
      <c r="W41" s="464">
        <f t="shared" si="13"/>
        <v>41023.4</v>
      </c>
    </row>
    <row r="42" spans="1:23" ht="17.100000000000001" customHeight="1">
      <c r="A42" s="229">
        <v>7200</v>
      </c>
      <c r="B42" s="466">
        <f>IF(C42="O","",RANK(W42,W$24:W$83,1)+COUNTIF($W$24:W42,W42)-1)</f>
        <v>16</v>
      </c>
      <c r="C42" s="485"/>
      <c r="D42" s="232" t="s">
        <v>166</v>
      </c>
      <c r="E42" s="233">
        <v>43500</v>
      </c>
      <c r="F42" s="223">
        <v>100</v>
      </c>
      <c r="G42" s="224" t="s">
        <v>18</v>
      </c>
      <c r="H42" s="6">
        <v>3000</v>
      </c>
      <c r="I42" s="6">
        <f t="shared" si="6"/>
        <v>7200</v>
      </c>
      <c r="J42" s="28">
        <f t="shared" si="7"/>
        <v>39930</v>
      </c>
      <c r="K42" s="84">
        <f t="shared" si="20"/>
        <v>5994</v>
      </c>
      <c r="L42" s="85">
        <v>0</v>
      </c>
      <c r="M42" s="58">
        <f t="shared" si="15"/>
        <v>46523.4</v>
      </c>
      <c r="N42" s="31" t="str">
        <f t="shared" si="8"/>
        <v/>
      </c>
      <c r="O42" s="681"/>
      <c r="P42" s="263">
        <f t="shared" si="9"/>
        <v>-1000</v>
      </c>
      <c r="Q42" s="426">
        <f t="shared" si="10"/>
        <v>16</v>
      </c>
      <c r="R42" s="263" t="str">
        <f>IF(B42=SMALL(B$39:B$43,1),B42,"")</f>
        <v/>
      </c>
      <c r="S42" s="263">
        <f t="shared" si="12"/>
        <v>16</v>
      </c>
      <c r="T42" s="263">
        <f>IF(S42="","",IF(B42=SMALL(S$39:S$43,1),B42,""))</f>
        <v>16</v>
      </c>
      <c r="U42" s="263">
        <f t="shared" si="17"/>
        <v>16</v>
      </c>
      <c r="W42" s="464">
        <f t="shared" si="13"/>
        <v>46523.4</v>
      </c>
    </row>
    <row r="43" spans="1:23" ht="17.100000000000001" customHeight="1" thickBot="1">
      <c r="A43" s="229">
        <v>11250</v>
      </c>
      <c r="B43" s="466">
        <f>IF(C43="O","",RANK(W43,W$24:W$83,1)+COUNTIF($W$24:W43,W43)-1)</f>
        <v>25</v>
      </c>
      <c r="C43" s="499"/>
      <c r="D43" s="234" t="s">
        <v>166</v>
      </c>
      <c r="E43" s="235">
        <v>50500</v>
      </c>
      <c r="F43" s="226">
        <v>100</v>
      </c>
      <c r="G43" s="227" t="s">
        <v>18</v>
      </c>
      <c r="H43" s="8">
        <v>6000</v>
      </c>
      <c r="I43" s="8">
        <f t="shared" si="6"/>
        <v>11250</v>
      </c>
      <c r="J43" s="29">
        <f t="shared" si="7"/>
        <v>43175</v>
      </c>
      <c r="K43" s="86">
        <f t="shared" si="20"/>
        <v>5994</v>
      </c>
      <c r="L43" s="87">
        <v>0</v>
      </c>
      <c r="M43" s="59">
        <f t="shared" si="15"/>
        <v>49768.4</v>
      </c>
      <c r="N43" s="32" t="str">
        <f t="shared" si="8"/>
        <v/>
      </c>
      <c r="O43" s="682"/>
      <c r="P43" s="263">
        <f t="shared" si="9"/>
        <v>-4000</v>
      </c>
      <c r="Q43" s="426">
        <f t="shared" si="10"/>
        <v>25</v>
      </c>
      <c r="R43" s="263" t="str">
        <f>IF(B43=SMALL(B$39:B$43,1),B43,"")</f>
        <v/>
      </c>
      <c r="S43" s="263">
        <f t="shared" si="12"/>
        <v>25</v>
      </c>
      <c r="T43" s="263" t="str">
        <f>IF(S43="","",IF(B43=SMALL(S$39:S$43,1),B43,""))</f>
        <v/>
      </c>
      <c r="U43" s="263">
        <f t="shared" si="17"/>
        <v>25</v>
      </c>
      <c r="W43" s="464">
        <f t="shared" si="13"/>
        <v>49768.4</v>
      </c>
    </row>
    <row r="44" spans="1:23" ht="17.100000000000001" customHeight="1">
      <c r="A44" s="229">
        <v>7200</v>
      </c>
      <c r="B44" s="466">
        <f>IF(C44="O","",RANK(W44,W$24:W$83,1)+COUNTIF($W$24:W44,W44)-1)</f>
        <v>2</v>
      </c>
      <c r="C44" s="500"/>
      <c r="D44" s="230" t="s">
        <v>168</v>
      </c>
      <c r="E44" s="231">
        <v>38500</v>
      </c>
      <c r="F44" s="220">
        <v>150</v>
      </c>
      <c r="G44" s="221" t="s">
        <v>18</v>
      </c>
      <c r="H44" s="16">
        <v>250</v>
      </c>
      <c r="I44" s="16">
        <f t="shared" si="6"/>
        <v>7200</v>
      </c>
      <c r="J44" s="27">
        <f t="shared" si="7"/>
        <v>34430</v>
      </c>
      <c r="K44" s="82">
        <f>IF(F$8*(100-F$9)/100&lt;F44,0,((F$8*(100-F$9)/100)-F44)*60*1.8)*IF($N$10="O",0.65,1)</f>
        <v>594</v>
      </c>
      <c r="L44" s="83">
        <v>0</v>
      </c>
      <c r="M44" s="33">
        <f t="shared" si="15"/>
        <v>35083.4</v>
      </c>
      <c r="N44" s="30" t="str">
        <f t="shared" si="8"/>
        <v>데이터(1.75GB) 부족</v>
      </c>
      <c r="O44" s="680" t="s">
        <v>169</v>
      </c>
      <c r="P44" s="263">
        <f t="shared" si="9"/>
        <v>1750</v>
      </c>
      <c r="Q44" s="426">
        <f t="shared" si="10"/>
        <v>2</v>
      </c>
      <c r="R44" s="263">
        <f>IF(B44=SMALL(B$44:B$48,1),B44,"")</f>
        <v>2</v>
      </c>
      <c r="S44" s="263" t="str">
        <f t="shared" si="12"/>
        <v/>
      </c>
      <c r="T44" s="263" t="str">
        <f>IF(S44="","",IF(B44=SMALL(S$44:S$48,1),B44,""))</f>
        <v/>
      </c>
      <c r="U44" s="263">
        <f t="shared" si="17"/>
        <v>2</v>
      </c>
      <c r="W44" s="464">
        <f t="shared" si="13"/>
        <v>35083.4</v>
      </c>
    </row>
    <row r="45" spans="1:23" ht="17.100000000000001" customHeight="1">
      <c r="A45" s="229">
        <v>7200</v>
      </c>
      <c r="B45" s="466">
        <f>IF(C45="O","",RANK(W45,W$24:W$83,1)+COUNTIF($W$24:W45,W45)-1)</f>
        <v>6</v>
      </c>
      <c r="C45" s="485"/>
      <c r="D45" s="232" t="s">
        <v>168</v>
      </c>
      <c r="E45" s="233">
        <v>43000</v>
      </c>
      <c r="F45" s="223">
        <v>150</v>
      </c>
      <c r="G45" s="224" t="s">
        <v>18</v>
      </c>
      <c r="H45" s="6">
        <v>700</v>
      </c>
      <c r="I45" s="6">
        <f t="shared" si="6"/>
        <v>7200</v>
      </c>
      <c r="J45" s="28">
        <f t="shared" si="7"/>
        <v>39380</v>
      </c>
      <c r="K45" s="84">
        <f t="shared" ref="K45:K48" si="21">IF(F$8*(100-F$9)/100&lt;F45,0,((F$8*(100-F$9)/100)-F45)*60*1.8)*IF($N$10="O",0.65,1)</f>
        <v>594</v>
      </c>
      <c r="L45" s="85">
        <v>0</v>
      </c>
      <c r="M45" s="58">
        <f t="shared" si="15"/>
        <v>40033.4</v>
      </c>
      <c r="N45" s="31" t="str">
        <f t="shared" si="8"/>
        <v>데이터(1.3GB) 부족</v>
      </c>
      <c r="O45" s="681"/>
      <c r="P45" s="263">
        <f t="shared" si="9"/>
        <v>1300</v>
      </c>
      <c r="Q45" s="426">
        <f t="shared" si="10"/>
        <v>6</v>
      </c>
      <c r="R45" s="263" t="str">
        <f>IF(B45=SMALL(B$44:B$48,1),B45,"")</f>
        <v/>
      </c>
      <c r="S45" s="263" t="str">
        <f t="shared" si="12"/>
        <v/>
      </c>
      <c r="T45" s="263" t="str">
        <f>IF(S45="","",IF(B45=SMALL(S$44:S$48,1),B45,""))</f>
        <v/>
      </c>
      <c r="U45" s="263">
        <f t="shared" si="17"/>
        <v>6</v>
      </c>
      <c r="W45" s="464">
        <f t="shared" si="13"/>
        <v>40033.4</v>
      </c>
    </row>
    <row r="46" spans="1:23" ht="17.100000000000001" customHeight="1">
      <c r="A46" s="229">
        <v>7200</v>
      </c>
      <c r="B46" s="466">
        <f>IF(C46="O","",RANK(W46,W$24:W$83,1)+COUNTIF($W$24:W46,W46)-1)</f>
        <v>9</v>
      </c>
      <c r="C46" s="485"/>
      <c r="D46" s="232" t="s">
        <v>168</v>
      </c>
      <c r="E46" s="233">
        <v>44500</v>
      </c>
      <c r="F46" s="223">
        <v>150</v>
      </c>
      <c r="G46" s="224" t="s">
        <v>18</v>
      </c>
      <c r="H46" s="6">
        <v>1500</v>
      </c>
      <c r="I46" s="6">
        <f t="shared" si="6"/>
        <v>7200</v>
      </c>
      <c r="J46" s="28">
        <f t="shared" si="7"/>
        <v>41030</v>
      </c>
      <c r="K46" s="84">
        <f t="shared" si="21"/>
        <v>594</v>
      </c>
      <c r="L46" s="85">
        <v>0</v>
      </c>
      <c r="M46" s="58">
        <f t="shared" si="15"/>
        <v>41683.4</v>
      </c>
      <c r="N46" s="31" t="str">
        <f t="shared" si="8"/>
        <v>데이터(0.5GB) 부족</v>
      </c>
      <c r="O46" s="681"/>
      <c r="P46" s="263">
        <f t="shared" si="9"/>
        <v>500</v>
      </c>
      <c r="Q46" s="426">
        <f t="shared" si="10"/>
        <v>9</v>
      </c>
      <c r="R46" s="263" t="str">
        <f>IF(B46=SMALL(B$44:B$48,1),B46,"")</f>
        <v/>
      </c>
      <c r="S46" s="263" t="str">
        <f t="shared" si="12"/>
        <v/>
      </c>
      <c r="T46" s="263" t="str">
        <f>IF(S46="","",IF(B46=SMALL(S$44:S$48,1),B46,""))</f>
        <v/>
      </c>
      <c r="U46" s="263">
        <f t="shared" si="17"/>
        <v>9</v>
      </c>
      <c r="W46" s="464">
        <f t="shared" si="13"/>
        <v>41683.4</v>
      </c>
    </row>
    <row r="47" spans="1:23" ht="17.100000000000001" customHeight="1">
      <c r="A47" s="229">
        <v>11250</v>
      </c>
      <c r="B47" s="466">
        <f>IF(C47="O","",RANK(W47,W$24:W$83,1)+COUNTIF($W$24:W47,W47)-1)</f>
        <v>12</v>
      </c>
      <c r="C47" s="485"/>
      <c r="D47" s="232" t="s">
        <v>168</v>
      </c>
      <c r="E47" s="233">
        <v>49500</v>
      </c>
      <c r="F47" s="223">
        <v>150</v>
      </c>
      <c r="G47" s="224" t="s">
        <v>18</v>
      </c>
      <c r="H47" s="6">
        <v>3000</v>
      </c>
      <c r="I47" s="6">
        <f t="shared" si="6"/>
        <v>11250</v>
      </c>
      <c r="J47" s="28">
        <f t="shared" si="7"/>
        <v>42075</v>
      </c>
      <c r="K47" s="84">
        <f t="shared" si="21"/>
        <v>594</v>
      </c>
      <c r="L47" s="85">
        <v>0</v>
      </c>
      <c r="M47" s="58">
        <f t="shared" si="15"/>
        <v>42728.4</v>
      </c>
      <c r="N47" s="31" t="str">
        <f t="shared" si="8"/>
        <v/>
      </c>
      <c r="O47" s="681"/>
      <c r="P47" s="263">
        <f t="shared" si="9"/>
        <v>-1000</v>
      </c>
      <c r="Q47" s="426">
        <f t="shared" si="10"/>
        <v>12</v>
      </c>
      <c r="R47" s="263" t="str">
        <f>IF(B47=SMALL(B$44:B$48,1),B47,"")</f>
        <v/>
      </c>
      <c r="S47" s="263">
        <f t="shared" si="12"/>
        <v>12</v>
      </c>
      <c r="T47" s="263">
        <f>IF(S47="","",IF(B47=SMALL(S$44:S$48,1),B47,""))</f>
        <v>12</v>
      </c>
      <c r="U47" s="263">
        <f t="shared" si="17"/>
        <v>12</v>
      </c>
      <c r="W47" s="464">
        <f t="shared" si="13"/>
        <v>42728.4</v>
      </c>
    </row>
    <row r="48" spans="1:23" ht="17.100000000000001" customHeight="1" thickBot="1">
      <c r="A48" s="229">
        <v>11250</v>
      </c>
      <c r="B48" s="466">
        <f>IF(C48="O","",RANK(W48,W$24:W$83,1)+COUNTIF($W$24:W48,W48)-1)</f>
        <v>19</v>
      </c>
      <c r="C48" s="501"/>
      <c r="D48" s="236" t="s">
        <v>168</v>
      </c>
      <c r="E48" s="235">
        <v>54500</v>
      </c>
      <c r="F48" s="226">
        <v>150</v>
      </c>
      <c r="G48" s="227" t="s">
        <v>18</v>
      </c>
      <c r="H48" s="8">
        <v>6000</v>
      </c>
      <c r="I48" s="8">
        <f t="shared" si="6"/>
        <v>11250</v>
      </c>
      <c r="J48" s="29">
        <f t="shared" si="7"/>
        <v>47575.000000000007</v>
      </c>
      <c r="K48" s="86">
        <f t="shared" si="21"/>
        <v>594</v>
      </c>
      <c r="L48" s="87">
        <v>0</v>
      </c>
      <c r="M48" s="59">
        <f t="shared" si="15"/>
        <v>48228.400000000009</v>
      </c>
      <c r="N48" s="32" t="str">
        <f t="shared" si="8"/>
        <v/>
      </c>
      <c r="O48" s="682"/>
      <c r="P48" s="263">
        <f t="shared" si="9"/>
        <v>-4000</v>
      </c>
      <c r="Q48" s="426">
        <f t="shared" si="10"/>
        <v>19</v>
      </c>
      <c r="R48" s="263" t="str">
        <f>IF(B48=SMALL(B$44:B$48,1),B48,"")</f>
        <v/>
      </c>
      <c r="S48" s="263">
        <f t="shared" si="12"/>
        <v>19</v>
      </c>
      <c r="T48" s="263" t="str">
        <f>IF(S48="","",IF(B48=SMALL(S$44:S$48,1),B48,""))</f>
        <v/>
      </c>
      <c r="U48" s="263">
        <f t="shared" si="17"/>
        <v>19</v>
      </c>
      <c r="W48" s="464">
        <f t="shared" si="13"/>
        <v>48228.400000000009</v>
      </c>
    </row>
    <row r="49" spans="1:23" ht="17.100000000000001" customHeight="1">
      <c r="A49" s="229">
        <v>11250</v>
      </c>
      <c r="B49" s="466">
        <f>IF(C49="O","",RANK(W49,W$24:W$83,1)+COUNTIF($W$24:W49,W49)-1)</f>
        <v>3</v>
      </c>
      <c r="C49" s="498"/>
      <c r="D49" s="230" t="s">
        <v>170</v>
      </c>
      <c r="E49" s="231">
        <v>45500</v>
      </c>
      <c r="F49" s="220">
        <v>200</v>
      </c>
      <c r="G49" s="221" t="s">
        <v>18</v>
      </c>
      <c r="H49" s="16">
        <v>250</v>
      </c>
      <c r="I49" s="16">
        <f t="shared" si="6"/>
        <v>11250</v>
      </c>
      <c r="J49" s="27">
        <f t="shared" si="7"/>
        <v>37675</v>
      </c>
      <c r="K49" s="82">
        <f>IF(F$8*(100-F$9)/100&lt;F49,0,((F$8*(100-F$9)/100)-F49)*60*1.8)*IF($N$10="O",0.65,1)</f>
        <v>0</v>
      </c>
      <c r="L49" s="83">
        <v>0</v>
      </c>
      <c r="M49" s="33">
        <f t="shared" si="15"/>
        <v>37675</v>
      </c>
      <c r="N49" s="30" t="str">
        <f t="shared" si="8"/>
        <v>데이터(1.75GB) 부족</v>
      </c>
      <c r="O49" s="680" t="s">
        <v>171</v>
      </c>
      <c r="P49" s="263">
        <f t="shared" si="9"/>
        <v>1750</v>
      </c>
      <c r="Q49" s="426">
        <f t="shared" si="10"/>
        <v>3</v>
      </c>
      <c r="R49" s="263">
        <f>IF(B49=SMALL(B$49:B$53,1),B49,"")</f>
        <v>3</v>
      </c>
      <c r="S49" s="263" t="str">
        <f t="shared" si="12"/>
        <v/>
      </c>
      <c r="T49" s="263" t="str">
        <f>IF(S49="","",IF(B49=SMALL(S$49:S$53,1),B49,""))</f>
        <v/>
      </c>
      <c r="U49" s="263">
        <f t="shared" si="17"/>
        <v>3</v>
      </c>
      <c r="W49" s="464">
        <f t="shared" si="13"/>
        <v>37675</v>
      </c>
    </row>
    <row r="50" spans="1:23" ht="17.100000000000001" customHeight="1">
      <c r="A50" s="229">
        <v>11250</v>
      </c>
      <c r="B50" s="466">
        <f>IF(C50="O","",RANK(W50,W$24:W$83,1)+COUNTIF($W$24:W50,W50)-1)</f>
        <v>11</v>
      </c>
      <c r="C50" s="485"/>
      <c r="D50" s="232" t="s">
        <v>170</v>
      </c>
      <c r="E50" s="233">
        <v>49500</v>
      </c>
      <c r="F50" s="223">
        <v>200</v>
      </c>
      <c r="G50" s="224" t="s">
        <v>18</v>
      </c>
      <c r="H50" s="6">
        <v>700</v>
      </c>
      <c r="I50" s="6">
        <f t="shared" si="6"/>
        <v>11250</v>
      </c>
      <c r="J50" s="28">
        <f t="shared" si="7"/>
        <v>42075</v>
      </c>
      <c r="K50" s="84">
        <f t="shared" ref="K50:K53" si="22">IF(F$8*(100-F$9)/100&lt;F50,0,((F$8*(100-F$9)/100)-F50)*60*1.8)*IF($N$10="O",0.65,1)</f>
        <v>0</v>
      </c>
      <c r="L50" s="85">
        <v>0</v>
      </c>
      <c r="M50" s="58">
        <f t="shared" si="15"/>
        <v>42075</v>
      </c>
      <c r="N50" s="31" t="str">
        <f t="shared" si="8"/>
        <v>데이터(1.3GB) 부족</v>
      </c>
      <c r="O50" s="681"/>
      <c r="P50" s="263">
        <f t="shared" si="9"/>
        <v>1300</v>
      </c>
      <c r="Q50" s="426">
        <f t="shared" si="10"/>
        <v>11</v>
      </c>
      <c r="R50" s="263" t="str">
        <f>IF(B50=SMALL(B$49:B$53,1),B50,"")</f>
        <v/>
      </c>
      <c r="S50" s="263" t="str">
        <f t="shared" si="12"/>
        <v/>
      </c>
      <c r="T50" s="263" t="str">
        <f>IF(S50="","",IF(B50=SMALL(S$49:S$53,1),B50,""))</f>
        <v/>
      </c>
      <c r="U50" s="263">
        <f t="shared" si="17"/>
        <v>11</v>
      </c>
      <c r="W50" s="464">
        <f t="shared" si="13"/>
        <v>42075</v>
      </c>
    </row>
    <row r="51" spans="1:23" ht="17.100000000000001" customHeight="1">
      <c r="A51" s="229">
        <v>11250</v>
      </c>
      <c r="B51" s="466">
        <f>IF(C51="O","",RANK(W51,W$24:W$83,1)+COUNTIF($W$24:W51,W51)-1)</f>
        <v>13</v>
      </c>
      <c r="C51" s="485"/>
      <c r="D51" s="232" t="s">
        <v>170</v>
      </c>
      <c r="E51" s="233">
        <v>50500</v>
      </c>
      <c r="F51" s="223">
        <v>200</v>
      </c>
      <c r="G51" s="224" t="s">
        <v>18</v>
      </c>
      <c r="H51" s="6">
        <v>1500</v>
      </c>
      <c r="I51" s="6">
        <f t="shared" si="6"/>
        <v>11250</v>
      </c>
      <c r="J51" s="28">
        <f t="shared" si="7"/>
        <v>43175</v>
      </c>
      <c r="K51" s="84">
        <f t="shared" si="22"/>
        <v>0</v>
      </c>
      <c r="L51" s="85">
        <v>0</v>
      </c>
      <c r="M51" s="58">
        <f t="shared" si="15"/>
        <v>43175</v>
      </c>
      <c r="N51" s="31" t="str">
        <f t="shared" si="8"/>
        <v>데이터(0.5GB) 부족</v>
      </c>
      <c r="O51" s="681"/>
      <c r="P51" s="263">
        <f t="shared" si="9"/>
        <v>500</v>
      </c>
      <c r="Q51" s="426">
        <f t="shared" si="10"/>
        <v>13</v>
      </c>
      <c r="R51" s="263" t="str">
        <f>IF(B51=SMALL(B$49:B$53,1),B51,"")</f>
        <v/>
      </c>
      <c r="S51" s="263" t="str">
        <f t="shared" si="12"/>
        <v/>
      </c>
      <c r="T51" s="263" t="str">
        <f>IF(S51="","",IF(B51=SMALL(S$49:S$53,1),B51,""))</f>
        <v/>
      </c>
      <c r="U51" s="263">
        <f t="shared" si="17"/>
        <v>13</v>
      </c>
      <c r="W51" s="464">
        <f t="shared" si="13"/>
        <v>43175</v>
      </c>
    </row>
    <row r="52" spans="1:23" ht="17.100000000000001" customHeight="1">
      <c r="A52" s="229">
        <v>11250</v>
      </c>
      <c r="B52" s="466">
        <f>IF(C52="O","",RANK(W52,W$24:W$83,1)+COUNTIF($W$24:W52,W52)-1)</f>
        <v>17</v>
      </c>
      <c r="C52" s="485"/>
      <c r="D52" s="232" t="s">
        <v>170</v>
      </c>
      <c r="E52" s="233">
        <v>54500</v>
      </c>
      <c r="F52" s="223">
        <v>200</v>
      </c>
      <c r="G52" s="224" t="s">
        <v>18</v>
      </c>
      <c r="H52" s="6">
        <v>3000</v>
      </c>
      <c r="I52" s="6">
        <f t="shared" si="6"/>
        <v>11250</v>
      </c>
      <c r="J52" s="28">
        <f t="shared" si="7"/>
        <v>47575.000000000007</v>
      </c>
      <c r="K52" s="84">
        <f t="shared" si="22"/>
        <v>0</v>
      </c>
      <c r="L52" s="85">
        <v>0</v>
      </c>
      <c r="M52" s="58">
        <f t="shared" si="15"/>
        <v>47575.000000000007</v>
      </c>
      <c r="N52" s="31" t="str">
        <f t="shared" si="8"/>
        <v/>
      </c>
      <c r="O52" s="681"/>
      <c r="P52" s="263">
        <f t="shared" si="9"/>
        <v>-1000</v>
      </c>
      <c r="Q52" s="426">
        <f t="shared" si="10"/>
        <v>17</v>
      </c>
      <c r="R52" s="263" t="str">
        <f>IF(B52=SMALL(B$49:B$53,1),B52,"")</f>
        <v/>
      </c>
      <c r="S52" s="263">
        <f t="shared" si="12"/>
        <v>17</v>
      </c>
      <c r="T52" s="263">
        <f>IF(S52="","",IF(B52=SMALL(S$49:S$53,1),B52,""))</f>
        <v>17</v>
      </c>
      <c r="U52" s="263">
        <f t="shared" si="17"/>
        <v>17</v>
      </c>
      <c r="W52" s="464">
        <f t="shared" si="13"/>
        <v>47575.000000000007</v>
      </c>
    </row>
    <row r="53" spans="1:23" ht="17.100000000000001" customHeight="1" thickBot="1">
      <c r="A53" s="229">
        <v>14250</v>
      </c>
      <c r="B53" s="466">
        <f>IF(C53="O","",RANK(W53,W$24:W$83,1)+COUNTIF($W$24:W53,W53)-1)</f>
        <v>26</v>
      </c>
      <c r="C53" s="499"/>
      <c r="D53" s="236" t="s">
        <v>170</v>
      </c>
      <c r="E53" s="235">
        <v>59500</v>
      </c>
      <c r="F53" s="226">
        <v>200</v>
      </c>
      <c r="G53" s="227" t="s">
        <v>18</v>
      </c>
      <c r="H53" s="8">
        <v>6000</v>
      </c>
      <c r="I53" s="8">
        <f t="shared" si="6"/>
        <v>14250</v>
      </c>
      <c r="J53" s="29">
        <f t="shared" si="7"/>
        <v>49775.000000000007</v>
      </c>
      <c r="K53" s="86">
        <f t="shared" si="22"/>
        <v>0</v>
      </c>
      <c r="L53" s="87">
        <v>0</v>
      </c>
      <c r="M53" s="59">
        <f t="shared" si="15"/>
        <v>49775.000000000007</v>
      </c>
      <c r="N53" s="32" t="str">
        <f t="shared" si="8"/>
        <v/>
      </c>
      <c r="O53" s="682"/>
      <c r="P53" s="263">
        <f t="shared" si="9"/>
        <v>-4000</v>
      </c>
      <c r="Q53" s="426">
        <f t="shared" si="10"/>
        <v>26</v>
      </c>
      <c r="R53" s="263" t="str">
        <f>IF(B53=SMALL(B$49:B$53,1),B53,"")</f>
        <v/>
      </c>
      <c r="S53" s="263">
        <f t="shared" si="12"/>
        <v>26</v>
      </c>
      <c r="T53" s="263" t="str">
        <f>IF(S53="","",IF(B53=SMALL(S$49:S$53,1),B53,""))</f>
        <v/>
      </c>
      <c r="U53" s="263">
        <f t="shared" si="17"/>
        <v>26</v>
      </c>
      <c r="W53" s="464">
        <f t="shared" si="13"/>
        <v>49775.000000000007</v>
      </c>
    </row>
    <row r="54" spans="1:23" ht="17.100000000000001" customHeight="1">
      <c r="A54" s="229">
        <v>14250</v>
      </c>
      <c r="B54" s="466">
        <f>IF(C54="O","",RANK(W54,W$24:W$83,1)+COUNTIF($W$24:W54,W54)-1)</f>
        <v>18</v>
      </c>
      <c r="C54" s="500"/>
      <c r="D54" s="237" t="s">
        <v>172</v>
      </c>
      <c r="E54" s="231">
        <v>57500</v>
      </c>
      <c r="F54" s="238" t="s">
        <v>158</v>
      </c>
      <c r="G54" s="221" t="s">
        <v>18</v>
      </c>
      <c r="H54" s="16">
        <v>250</v>
      </c>
      <c r="I54" s="16">
        <f t="shared" si="6"/>
        <v>14250</v>
      </c>
      <c r="J54" s="27">
        <f t="shared" si="7"/>
        <v>47575.000000000007</v>
      </c>
      <c r="K54" s="82">
        <f>IF(OR($F$8="",$F$8&lt;$F54),0,($F$8-F54)*60*1.8)*IF($N$10="O",0.65,1)</f>
        <v>0</v>
      </c>
      <c r="L54" s="83">
        <v>0</v>
      </c>
      <c r="M54" s="33">
        <f t="shared" si="15"/>
        <v>47575.000000000007</v>
      </c>
      <c r="N54" s="30" t="str">
        <f t="shared" si="8"/>
        <v>데이터(1.75GB) 부족</v>
      </c>
      <c r="O54" s="680" t="s">
        <v>173</v>
      </c>
      <c r="P54" s="263">
        <f t="shared" si="9"/>
        <v>1750</v>
      </c>
      <c r="Q54" s="426">
        <f t="shared" si="10"/>
        <v>18</v>
      </c>
      <c r="R54" s="263">
        <f>IF(B54=SMALL(B$54:B$58,1),B54,"")</f>
        <v>18</v>
      </c>
      <c r="S54" s="263" t="str">
        <f t="shared" si="12"/>
        <v/>
      </c>
      <c r="T54" s="263" t="str">
        <f>IF(S54="","",IF(B54=SMALL(S$54:S$58,1),B54,""))</f>
        <v/>
      </c>
      <c r="U54" s="263">
        <f t="shared" si="17"/>
        <v>18</v>
      </c>
      <c r="W54" s="464">
        <f t="shared" si="13"/>
        <v>47575.000000000007</v>
      </c>
    </row>
    <row r="55" spans="1:23" ht="17.100000000000001" customHeight="1">
      <c r="A55" s="229">
        <v>14250</v>
      </c>
      <c r="B55" s="466">
        <f>IF(C55="O","",RANK(W55,W$24:W$83,1)+COUNTIF($W$24:W55,W55)-1)</f>
        <v>32</v>
      </c>
      <c r="C55" s="485"/>
      <c r="D55" s="232" t="s">
        <v>172</v>
      </c>
      <c r="E55" s="233">
        <v>61500</v>
      </c>
      <c r="F55" s="216" t="s">
        <v>158</v>
      </c>
      <c r="G55" s="224" t="s">
        <v>18</v>
      </c>
      <c r="H55" s="6">
        <v>700</v>
      </c>
      <c r="I55" s="6">
        <f t="shared" si="6"/>
        <v>14250</v>
      </c>
      <c r="J55" s="28">
        <f t="shared" si="7"/>
        <v>51975.000000000007</v>
      </c>
      <c r="K55" s="84">
        <f t="shared" ref="K55:K58" si="23">IF(OR($F$8="",$F$8&lt;$F55),0,($F$8-F55)*60*1.8)*IF($N$10="O",0.65,1)</f>
        <v>0</v>
      </c>
      <c r="L55" s="85">
        <v>0</v>
      </c>
      <c r="M55" s="58">
        <f t="shared" si="15"/>
        <v>51975.000000000007</v>
      </c>
      <c r="N55" s="31" t="str">
        <f t="shared" si="8"/>
        <v>데이터(1.3GB) 부족</v>
      </c>
      <c r="O55" s="681"/>
      <c r="P55" s="263">
        <f t="shared" si="9"/>
        <v>1300</v>
      </c>
      <c r="Q55" s="426">
        <f t="shared" si="10"/>
        <v>32</v>
      </c>
      <c r="R55" s="263" t="str">
        <f>IF(B55=SMALL(B$54:B$58,1),B55,"")</f>
        <v/>
      </c>
      <c r="S55" s="263" t="str">
        <f t="shared" si="12"/>
        <v/>
      </c>
      <c r="T55" s="263" t="str">
        <f>IF(S55="","",IF(B55=SMALL(S$54:S$58,1),B55,""))</f>
        <v/>
      </c>
      <c r="U55" s="263">
        <f t="shared" si="17"/>
        <v>32</v>
      </c>
      <c r="W55" s="464">
        <f t="shared" si="13"/>
        <v>51975.000000000007</v>
      </c>
    </row>
    <row r="56" spans="1:23" ht="17.100000000000001" customHeight="1">
      <c r="A56" s="229">
        <v>14250</v>
      </c>
      <c r="B56" s="466">
        <f>IF(C56="O","",RANK(W56,W$24:W$83,1)+COUNTIF($W$24:W56,W56)-1)</f>
        <v>35</v>
      </c>
      <c r="C56" s="485"/>
      <c r="D56" s="232" t="s">
        <v>172</v>
      </c>
      <c r="E56" s="233">
        <v>62500</v>
      </c>
      <c r="F56" s="216" t="s">
        <v>158</v>
      </c>
      <c r="G56" s="224" t="s">
        <v>18</v>
      </c>
      <c r="H56" s="6">
        <v>1500</v>
      </c>
      <c r="I56" s="6">
        <f t="shared" si="6"/>
        <v>14250</v>
      </c>
      <c r="J56" s="28">
        <f t="shared" si="7"/>
        <v>53075.000000000007</v>
      </c>
      <c r="K56" s="84">
        <f t="shared" si="23"/>
        <v>0</v>
      </c>
      <c r="L56" s="85">
        <v>0</v>
      </c>
      <c r="M56" s="58">
        <f t="shared" si="15"/>
        <v>53075.000000000007</v>
      </c>
      <c r="N56" s="31" t="str">
        <f t="shared" si="8"/>
        <v>데이터(0.5GB) 부족</v>
      </c>
      <c r="O56" s="681"/>
      <c r="P56" s="263">
        <f t="shared" si="9"/>
        <v>500</v>
      </c>
      <c r="Q56" s="426">
        <f t="shared" si="10"/>
        <v>35</v>
      </c>
      <c r="R56" s="263" t="str">
        <f>IF(B56=SMALL(B$54:B$58,1),B56,"")</f>
        <v/>
      </c>
      <c r="S56" s="263" t="str">
        <f t="shared" si="12"/>
        <v/>
      </c>
      <c r="T56" s="263" t="str">
        <f>IF(S56="","",IF(B56=SMALL(S$54:S$58,1),B56,""))</f>
        <v/>
      </c>
      <c r="U56" s="263">
        <f t="shared" si="17"/>
        <v>35</v>
      </c>
      <c r="W56" s="464">
        <f t="shared" si="13"/>
        <v>53075.000000000007</v>
      </c>
    </row>
    <row r="57" spans="1:23" ht="17.100000000000001" customHeight="1">
      <c r="A57" s="229">
        <v>14250</v>
      </c>
      <c r="B57" s="466">
        <f>IF(C57="O","",RANK(W57,W$24:W$83,1)+COUNTIF($W$24:W57,W57)-1)</f>
        <v>39</v>
      </c>
      <c r="C57" s="485"/>
      <c r="D57" s="232" t="s">
        <v>172</v>
      </c>
      <c r="E57" s="233">
        <v>64500</v>
      </c>
      <c r="F57" s="216" t="s">
        <v>158</v>
      </c>
      <c r="G57" s="224" t="s">
        <v>18</v>
      </c>
      <c r="H57" s="6">
        <v>3000</v>
      </c>
      <c r="I57" s="6">
        <f t="shared" si="6"/>
        <v>14250</v>
      </c>
      <c r="J57" s="28">
        <f t="shared" si="7"/>
        <v>55275.000000000007</v>
      </c>
      <c r="K57" s="84">
        <f t="shared" si="23"/>
        <v>0</v>
      </c>
      <c r="L57" s="85">
        <v>0</v>
      </c>
      <c r="M57" s="58">
        <f t="shared" si="15"/>
        <v>55275.000000000007</v>
      </c>
      <c r="N57" s="31" t="str">
        <f t="shared" si="8"/>
        <v/>
      </c>
      <c r="O57" s="681"/>
      <c r="P57" s="263">
        <f t="shared" si="9"/>
        <v>-1000</v>
      </c>
      <c r="Q57" s="426">
        <f t="shared" si="10"/>
        <v>39</v>
      </c>
      <c r="R57" s="263" t="str">
        <f>IF(B57=SMALL(B$54:B$58,1),B57,"")</f>
        <v/>
      </c>
      <c r="S57" s="263">
        <f t="shared" si="12"/>
        <v>39</v>
      </c>
      <c r="T57" s="263">
        <f>IF(S57="","",IF(B57=SMALL(S$54:S$58,1),B57,""))</f>
        <v>39</v>
      </c>
      <c r="U57" s="263">
        <f t="shared" si="17"/>
        <v>39</v>
      </c>
      <c r="W57" s="464">
        <f t="shared" si="13"/>
        <v>55275.000000000007</v>
      </c>
    </row>
    <row r="58" spans="1:23" ht="17.100000000000001" customHeight="1" thickBot="1">
      <c r="A58" s="229">
        <v>16750</v>
      </c>
      <c r="B58" s="466">
        <f>IF(C58="O","",RANK(W58,W$24:W$83,1)+COUNTIF($W$24:W58,W58)-1)</f>
        <v>45</v>
      </c>
      <c r="C58" s="501"/>
      <c r="D58" s="236" t="s">
        <v>172</v>
      </c>
      <c r="E58" s="235">
        <v>70500</v>
      </c>
      <c r="F58" s="217" t="s">
        <v>158</v>
      </c>
      <c r="G58" s="227" t="s">
        <v>18</v>
      </c>
      <c r="H58" s="8">
        <v>6000</v>
      </c>
      <c r="I58" s="8">
        <f t="shared" si="6"/>
        <v>16750</v>
      </c>
      <c r="J58" s="29">
        <f t="shared" si="7"/>
        <v>59125.000000000007</v>
      </c>
      <c r="K58" s="86">
        <f t="shared" si="23"/>
        <v>0</v>
      </c>
      <c r="L58" s="87">
        <v>0</v>
      </c>
      <c r="M58" s="59">
        <f t="shared" si="15"/>
        <v>59125.000000000007</v>
      </c>
      <c r="N58" s="32" t="str">
        <f t="shared" si="8"/>
        <v/>
      </c>
      <c r="O58" s="682"/>
      <c r="P58" s="263">
        <f t="shared" si="9"/>
        <v>-4000</v>
      </c>
      <c r="Q58" s="426">
        <f t="shared" si="10"/>
        <v>45</v>
      </c>
      <c r="R58" s="263" t="str">
        <f>IF(B58=SMALL(B$54:B$58,1),B58,"")</f>
        <v/>
      </c>
      <c r="S58" s="263">
        <f t="shared" si="12"/>
        <v>45</v>
      </c>
      <c r="T58" s="263" t="str">
        <f>IF(S58="","",IF(B58=SMALL(S$54:S$58,1),B58,""))</f>
        <v/>
      </c>
      <c r="U58" s="263">
        <f t="shared" si="17"/>
        <v>45</v>
      </c>
      <c r="W58" s="464">
        <f t="shared" si="13"/>
        <v>59125.000000000007</v>
      </c>
    </row>
    <row r="59" spans="1:23" ht="17.100000000000001" customHeight="1">
      <c r="A59" s="229">
        <v>16750</v>
      </c>
      <c r="B59" s="466">
        <f>IF(C59="O","",RANK(W59,W$24:W$83,1)+COUNTIF($W$24:W59,W59)-1)</f>
        <v>43</v>
      </c>
      <c r="C59" s="498"/>
      <c r="D59" s="230" t="s">
        <v>174</v>
      </c>
      <c r="E59" s="231">
        <v>68500</v>
      </c>
      <c r="F59" s="238" t="s">
        <v>38</v>
      </c>
      <c r="G59" s="221" t="s">
        <v>18</v>
      </c>
      <c r="H59" s="16">
        <v>250</v>
      </c>
      <c r="I59" s="16">
        <f t="shared" si="6"/>
        <v>16750</v>
      </c>
      <c r="J59" s="27">
        <f t="shared" si="7"/>
        <v>56925.000000000007</v>
      </c>
      <c r="K59" s="82">
        <f>IF(OR($F$8="",$F$8&lt;$F59),0,($F$8-F59)*60*1.8)*IF($N$10="O",0.65,1)</f>
        <v>0</v>
      </c>
      <c r="L59" s="83">
        <v>0</v>
      </c>
      <c r="M59" s="33">
        <f t="shared" si="15"/>
        <v>56925.000000000007</v>
      </c>
      <c r="N59" s="30" t="str">
        <f t="shared" si="8"/>
        <v>데이터(1.75GB) 부족</v>
      </c>
      <c r="O59" s="680" t="s">
        <v>175</v>
      </c>
      <c r="P59" s="263">
        <f t="shared" si="9"/>
        <v>1750</v>
      </c>
      <c r="Q59" s="426">
        <f t="shared" si="10"/>
        <v>43</v>
      </c>
      <c r="R59" s="263">
        <f>IF(B59=SMALL(B$59:B$63,1),B59,"")</f>
        <v>43</v>
      </c>
      <c r="S59" s="263" t="str">
        <f t="shared" si="12"/>
        <v/>
      </c>
      <c r="T59" s="263" t="str">
        <f>IF(S59="","",IF(B59=SMALL(S$59:S$63,1),B59,""))</f>
        <v/>
      </c>
      <c r="U59" s="263">
        <f t="shared" si="17"/>
        <v>43</v>
      </c>
      <c r="W59" s="464">
        <f t="shared" si="13"/>
        <v>56925.000000000007</v>
      </c>
    </row>
    <row r="60" spans="1:23" ht="17.100000000000001" customHeight="1">
      <c r="A60" s="229">
        <v>16750</v>
      </c>
      <c r="B60" s="466">
        <f>IF(C60="O","",RANK(W60,W$24:W$83,1)+COUNTIF($W$24:W60,W60)-1)</f>
        <v>49</v>
      </c>
      <c r="C60" s="485"/>
      <c r="D60" s="232" t="s">
        <v>174</v>
      </c>
      <c r="E60" s="233">
        <v>72000</v>
      </c>
      <c r="F60" s="216" t="s">
        <v>38</v>
      </c>
      <c r="G60" s="224" t="s">
        <v>18</v>
      </c>
      <c r="H60" s="6">
        <v>700</v>
      </c>
      <c r="I60" s="6">
        <f t="shared" si="6"/>
        <v>16750</v>
      </c>
      <c r="J60" s="28">
        <f t="shared" si="7"/>
        <v>60775.000000000007</v>
      </c>
      <c r="K60" s="84">
        <f t="shared" ref="K60:K63" si="24">IF(OR($F$8="",$F$8&lt;$F60),0,($F$8-F60)*60*1.8)*IF($N$10="O",0.65,1)</f>
        <v>0</v>
      </c>
      <c r="L60" s="85">
        <v>0</v>
      </c>
      <c r="M60" s="58">
        <f t="shared" si="15"/>
        <v>60775.000000000007</v>
      </c>
      <c r="N60" s="31" t="str">
        <f t="shared" si="8"/>
        <v>데이터(1.3GB) 부족</v>
      </c>
      <c r="O60" s="681"/>
      <c r="P60" s="263">
        <f t="shared" si="9"/>
        <v>1300</v>
      </c>
      <c r="Q60" s="426">
        <f t="shared" si="10"/>
        <v>49</v>
      </c>
      <c r="R60" s="263" t="str">
        <f>IF(B60=SMALL(B$59:B$63,1),B60,"")</f>
        <v/>
      </c>
      <c r="S60" s="263" t="str">
        <f t="shared" si="12"/>
        <v/>
      </c>
      <c r="T60" s="263" t="str">
        <f>IF(S60="","",IF(B60=SMALL(S$59:S$63,1),B60,""))</f>
        <v/>
      </c>
      <c r="U60" s="263">
        <f t="shared" si="17"/>
        <v>49</v>
      </c>
      <c r="W60" s="464">
        <f t="shared" si="13"/>
        <v>60775.000000000007</v>
      </c>
    </row>
    <row r="61" spans="1:23" ht="17.100000000000001" customHeight="1">
      <c r="A61" s="229">
        <v>16750</v>
      </c>
      <c r="B61" s="466">
        <f>IF(C61="O","",RANK(W61,W$24:W$83,1)+COUNTIF($W$24:W61,W61)-1)</f>
        <v>50</v>
      </c>
      <c r="C61" s="485"/>
      <c r="D61" s="232" t="s">
        <v>174</v>
      </c>
      <c r="E61" s="233">
        <v>73000</v>
      </c>
      <c r="F61" s="216" t="s">
        <v>38</v>
      </c>
      <c r="G61" s="224" t="s">
        <v>18</v>
      </c>
      <c r="H61" s="6">
        <v>1500</v>
      </c>
      <c r="I61" s="6">
        <f t="shared" si="6"/>
        <v>16750</v>
      </c>
      <c r="J61" s="28">
        <f t="shared" si="7"/>
        <v>61875.000000000007</v>
      </c>
      <c r="K61" s="84">
        <f t="shared" si="24"/>
        <v>0</v>
      </c>
      <c r="L61" s="85">
        <v>0</v>
      </c>
      <c r="M61" s="58">
        <f t="shared" si="15"/>
        <v>61875.000000000007</v>
      </c>
      <c r="N61" s="31" t="str">
        <f t="shared" si="8"/>
        <v>데이터(0.5GB) 부족</v>
      </c>
      <c r="O61" s="681"/>
      <c r="P61" s="263">
        <f t="shared" si="9"/>
        <v>500</v>
      </c>
      <c r="Q61" s="426">
        <f t="shared" si="10"/>
        <v>50</v>
      </c>
      <c r="R61" s="263" t="str">
        <f>IF(B61=SMALL(B$59:B$63,1),B61,"")</f>
        <v/>
      </c>
      <c r="S61" s="263" t="str">
        <f t="shared" si="12"/>
        <v/>
      </c>
      <c r="T61" s="263" t="str">
        <f>IF(S61="","",IF(B61=SMALL(S$59:S$63,1),B61,""))</f>
        <v/>
      </c>
      <c r="U61" s="263">
        <f t="shared" si="17"/>
        <v>50</v>
      </c>
      <c r="W61" s="464">
        <f t="shared" si="13"/>
        <v>61875.000000000007</v>
      </c>
    </row>
    <row r="62" spans="1:23" ht="17.100000000000001" customHeight="1">
      <c r="A62" s="229">
        <v>16750</v>
      </c>
      <c r="B62" s="466">
        <f>IF(C62="O","",RANK(W62,W$24:W$83,1)+COUNTIF($W$24:W62,W62)-1)</f>
        <v>51</v>
      </c>
      <c r="C62" s="485"/>
      <c r="D62" s="232" t="s">
        <v>174</v>
      </c>
      <c r="E62" s="233">
        <v>73500</v>
      </c>
      <c r="F62" s="216" t="s">
        <v>38</v>
      </c>
      <c r="G62" s="224" t="s">
        <v>18</v>
      </c>
      <c r="H62" s="6">
        <v>3000</v>
      </c>
      <c r="I62" s="6">
        <f t="shared" si="6"/>
        <v>16750</v>
      </c>
      <c r="J62" s="28">
        <f t="shared" si="7"/>
        <v>62425.000000000007</v>
      </c>
      <c r="K62" s="84">
        <f t="shared" si="24"/>
        <v>0</v>
      </c>
      <c r="L62" s="85">
        <v>0</v>
      </c>
      <c r="M62" s="58">
        <f t="shared" si="15"/>
        <v>62425.000000000007</v>
      </c>
      <c r="N62" s="31" t="str">
        <f t="shared" si="8"/>
        <v/>
      </c>
      <c r="O62" s="681"/>
      <c r="P62" s="263">
        <f t="shared" si="9"/>
        <v>-1000</v>
      </c>
      <c r="Q62" s="426">
        <f t="shared" si="10"/>
        <v>51</v>
      </c>
      <c r="R62" s="263" t="str">
        <f>IF(B62=SMALL(B$59:B$63,1),B62,"")</f>
        <v/>
      </c>
      <c r="S62" s="263">
        <f t="shared" si="12"/>
        <v>51</v>
      </c>
      <c r="T62" s="263">
        <f>IF(S62="","",IF(B62=SMALL(S$59:S$63,1),B62,""))</f>
        <v>51</v>
      </c>
      <c r="U62" s="263">
        <f t="shared" si="17"/>
        <v>51</v>
      </c>
      <c r="W62" s="464">
        <f t="shared" si="13"/>
        <v>62425.000000000007</v>
      </c>
    </row>
    <row r="63" spans="1:23" ht="17.100000000000001" customHeight="1" thickBot="1">
      <c r="A63" s="229">
        <v>18750</v>
      </c>
      <c r="B63" s="466">
        <f>IF(C63="O","",RANK(W63,W$24:W$83,1)+COUNTIF($W$24:W63,W63)-1)</f>
        <v>53</v>
      </c>
      <c r="C63" s="499"/>
      <c r="D63" s="236" t="s">
        <v>174</v>
      </c>
      <c r="E63" s="235">
        <v>77000</v>
      </c>
      <c r="F63" s="217" t="s">
        <v>38</v>
      </c>
      <c r="G63" s="227" t="s">
        <v>18</v>
      </c>
      <c r="H63" s="8">
        <v>6000</v>
      </c>
      <c r="I63" s="8">
        <f t="shared" si="6"/>
        <v>18750</v>
      </c>
      <c r="J63" s="29">
        <f t="shared" si="7"/>
        <v>64075.000000000007</v>
      </c>
      <c r="K63" s="86">
        <f t="shared" si="24"/>
        <v>0</v>
      </c>
      <c r="L63" s="87">
        <v>0</v>
      </c>
      <c r="M63" s="59">
        <f t="shared" si="15"/>
        <v>64075.000000000007</v>
      </c>
      <c r="N63" s="32" t="str">
        <f t="shared" si="8"/>
        <v/>
      </c>
      <c r="O63" s="682"/>
      <c r="P63" s="263">
        <f t="shared" si="9"/>
        <v>-4000</v>
      </c>
      <c r="Q63" s="426">
        <f t="shared" si="10"/>
        <v>53</v>
      </c>
      <c r="R63" s="263" t="str">
        <f>IF(B63=SMALL(B$59:B$63,1),B63,"")</f>
        <v/>
      </c>
      <c r="S63" s="263">
        <f t="shared" si="12"/>
        <v>53</v>
      </c>
      <c r="T63" s="263" t="str">
        <f>IF(S63="","",IF(B63=SMALL(S$59:S$63,1),B63,""))</f>
        <v/>
      </c>
      <c r="U63" s="263">
        <f t="shared" si="17"/>
        <v>53</v>
      </c>
      <c r="W63" s="464">
        <f t="shared" si="13"/>
        <v>64075.000000000007</v>
      </c>
    </row>
    <row r="64" spans="1:23" ht="17.100000000000001" customHeight="1">
      <c r="A64" s="239">
        <v>5000</v>
      </c>
      <c r="B64" s="466">
        <f>IF(C64="O","",RANK(W64,W$24:W$83,1)+COUNTIF($W$24:W64,W64)-1)</f>
        <v>23</v>
      </c>
      <c r="C64" s="495"/>
      <c r="D64" s="230" t="s">
        <v>176</v>
      </c>
      <c r="E64" s="231">
        <v>24000</v>
      </c>
      <c r="F64" s="220">
        <v>100</v>
      </c>
      <c r="G64" s="240" t="str">
        <f>IF($F$12=0,"50(무료)",$F$12&amp;"+50")</f>
        <v>50(무료)</v>
      </c>
      <c r="H64" s="16">
        <v>250</v>
      </c>
      <c r="I64" s="16">
        <f t="shared" si="6"/>
        <v>5000</v>
      </c>
      <c r="J64" s="27">
        <f>IF($N$10="X",(E64-I64+$H$12)*1.1,(E64-I64+$H$12)*1.1*0.65)</f>
        <v>20900</v>
      </c>
      <c r="K64" s="82">
        <f>IF(OR($F$8="",$F$8&lt;$F64),0,($F$8-F64)*60*1.8)*IF($N$10="O",0.65,1)</f>
        <v>22788</v>
      </c>
      <c r="L64" s="83">
        <f>IF($F$10&lt;($F$12+50),0,($F$10-$F$12-50)*20)*IF($N$10="O",0.65,1)</f>
        <v>3020</v>
      </c>
      <c r="M64" s="53">
        <f t="shared" si="15"/>
        <v>49288.800000000003</v>
      </c>
      <c r="N64" s="30" t="str">
        <f t="shared" si="8"/>
        <v>데이터(1.75GB) 부족</v>
      </c>
      <c r="O64" s="677" t="s">
        <v>177</v>
      </c>
      <c r="P64" s="263">
        <f t="shared" si="9"/>
        <v>1750</v>
      </c>
      <c r="Q64" s="426">
        <f t="shared" si="10"/>
        <v>23</v>
      </c>
      <c r="R64" s="263">
        <f>IF(B64=SMALL(B$64:B$68,1),B64,"")</f>
        <v>23</v>
      </c>
      <c r="S64" s="263" t="str">
        <f t="shared" si="12"/>
        <v/>
      </c>
      <c r="T64" s="263" t="str">
        <f>IF(S64="","",IF(B64=SMALL(S$64:S$68,1),B64,""))</f>
        <v/>
      </c>
      <c r="U64" s="263">
        <f t="shared" si="17"/>
        <v>23</v>
      </c>
      <c r="W64" s="464">
        <f t="shared" si="13"/>
        <v>49288.800000000003</v>
      </c>
    </row>
    <row r="65" spans="1:23" ht="17.100000000000001" customHeight="1">
      <c r="A65" s="239">
        <v>5000</v>
      </c>
      <c r="B65" s="466">
        <f>IF(C65="O","",RANK(W65,W$24:W$83,1)+COUNTIF($W$24:W65,W65)-1)</f>
        <v>37</v>
      </c>
      <c r="C65" s="496"/>
      <c r="D65" s="232" t="s">
        <v>176</v>
      </c>
      <c r="E65" s="233">
        <v>28500</v>
      </c>
      <c r="F65" s="223">
        <v>100</v>
      </c>
      <c r="G65" s="241" t="str">
        <f t="shared" ref="G65:G83" si="25">IF($F$12=0,"50(무료)",$F$12&amp;"+50")</f>
        <v>50(무료)</v>
      </c>
      <c r="H65" s="6">
        <v>700</v>
      </c>
      <c r="I65" s="6">
        <f t="shared" si="6"/>
        <v>5000</v>
      </c>
      <c r="J65" s="28">
        <f t="shared" ref="J65:J83" si="26">IF($N$10="X",(E65-I65+$H$12)*1.1,(E65-I65+$H$12)*1.1*0.65)</f>
        <v>25850.000000000004</v>
      </c>
      <c r="K65" s="84">
        <f t="shared" ref="K65:K83" si="27">IF(OR($F$8="",$F$8&lt;$F65),0,($F$8-F65)*60*1.8)*IF($N$10="O",0.65,1)</f>
        <v>22788</v>
      </c>
      <c r="L65" s="242">
        <f t="shared" ref="L65:L83" si="28">IF($F$10&lt;($F$12+50),0,($F$10-$F$12-50)*20)*IF($N$10="O",0.65,1)</f>
        <v>3020</v>
      </c>
      <c r="M65" s="58">
        <f t="shared" si="15"/>
        <v>54238.8</v>
      </c>
      <c r="N65" s="31" t="str">
        <f t="shared" si="8"/>
        <v>데이터(1.3GB) 부족</v>
      </c>
      <c r="O65" s="678"/>
      <c r="P65" s="263">
        <f t="shared" si="9"/>
        <v>1300</v>
      </c>
      <c r="Q65" s="426">
        <f t="shared" si="10"/>
        <v>37</v>
      </c>
      <c r="R65" s="263" t="str">
        <f>IF(B65=SMALL(B$64:B$68,1),B65,"")</f>
        <v/>
      </c>
      <c r="S65" s="263" t="str">
        <f t="shared" si="12"/>
        <v/>
      </c>
      <c r="T65" s="263" t="str">
        <f>IF(S65="","",IF(B65=SMALL(S$64:S$68,1),B65,""))</f>
        <v/>
      </c>
      <c r="U65" s="263">
        <f t="shared" si="17"/>
        <v>37</v>
      </c>
      <c r="W65" s="464">
        <f t="shared" si="13"/>
        <v>54238.8</v>
      </c>
    </row>
    <row r="66" spans="1:23" ht="17.100000000000001" customHeight="1">
      <c r="A66" s="239">
        <v>7000</v>
      </c>
      <c r="B66" s="466">
        <f>IF(C66="O","",RANK(W66,W$24:W$83,1)+COUNTIF($W$24:W66,W66)-1)</f>
        <v>46</v>
      </c>
      <c r="C66" s="496"/>
      <c r="D66" s="232" t="s">
        <v>176</v>
      </c>
      <c r="E66" s="233">
        <v>35000</v>
      </c>
      <c r="F66" s="223">
        <v>100</v>
      </c>
      <c r="G66" s="241" t="str">
        <f t="shared" si="25"/>
        <v>50(무료)</v>
      </c>
      <c r="H66" s="6">
        <v>1500</v>
      </c>
      <c r="I66" s="6">
        <f t="shared" si="6"/>
        <v>7000</v>
      </c>
      <c r="J66" s="28">
        <f t="shared" si="26"/>
        <v>30800.000000000004</v>
      </c>
      <c r="K66" s="84">
        <f t="shared" si="27"/>
        <v>22788</v>
      </c>
      <c r="L66" s="242">
        <f t="shared" si="28"/>
        <v>3020</v>
      </c>
      <c r="M66" s="58">
        <f t="shared" si="15"/>
        <v>59188.800000000003</v>
      </c>
      <c r="N66" s="31" t="str">
        <f t="shared" si="8"/>
        <v>데이터(0.5GB) 부족</v>
      </c>
      <c r="O66" s="678"/>
      <c r="P66" s="263">
        <f t="shared" si="9"/>
        <v>500</v>
      </c>
      <c r="Q66" s="426">
        <f t="shared" si="10"/>
        <v>46</v>
      </c>
      <c r="R66" s="263" t="str">
        <f>IF(B66=SMALL(B$64:B$68,1),B66,"")</f>
        <v/>
      </c>
      <c r="S66" s="263" t="str">
        <f t="shared" si="12"/>
        <v/>
      </c>
      <c r="T66" s="263" t="str">
        <f>IF(S66="","",IF(B66=SMALL(S$64:S$68,1),B66,""))</f>
        <v/>
      </c>
      <c r="U66" s="263">
        <f t="shared" si="17"/>
        <v>46</v>
      </c>
      <c r="W66" s="464">
        <f t="shared" si="13"/>
        <v>59188.800000000003</v>
      </c>
    </row>
    <row r="67" spans="1:23" ht="17.100000000000001" customHeight="1">
      <c r="A67" s="239">
        <v>7000</v>
      </c>
      <c r="B67" s="466">
        <f>IF(C67="O","",RANK(W67,W$24:W$83,1)+COUNTIF($W$24:W67,W67)-1)</f>
        <v>54</v>
      </c>
      <c r="C67" s="496"/>
      <c r="D67" s="232" t="s">
        <v>176</v>
      </c>
      <c r="E67" s="233">
        <v>41000</v>
      </c>
      <c r="F67" s="223">
        <v>100</v>
      </c>
      <c r="G67" s="241" t="str">
        <f t="shared" si="25"/>
        <v>50(무료)</v>
      </c>
      <c r="H67" s="6">
        <v>3000</v>
      </c>
      <c r="I67" s="6">
        <f t="shared" si="6"/>
        <v>7000</v>
      </c>
      <c r="J67" s="28">
        <f t="shared" si="26"/>
        <v>37400</v>
      </c>
      <c r="K67" s="84">
        <f t="shared" si="27"/>
        <v>22788</v>
      </c>
      <c r="L67" s="242">
        <f t="shared" si="28"/>
        <v>3020</v>
      </c>
      <c r="M67" s="58">
        <f t="shared" si="15"/>
        <v>65788.800000000003</v>
      </c>
      <c r="N67" s="31" t="str">
        <f t="shared" si="8"/>
        <v/>
      </c>
      <c r="O67" s="678"/>
      <c r="P67" s="263">
        <f t="shared" si="9"/>
        <v>-1000</v>
      </c>
      <c r="Q67" s="426">
        <f t="shared" si="10"/>
        <v>54</v>
      </c>
      <c r="R67" s="263" t="str">
        <f>IF(B67=SMALL(B$64:B$68,1),B67,"")</f>
        <v/>
      </c>
      <c r="S67" s="263">
        <f t="shared" si="12"/>
        <v>54</v>
      </c>
      <c r="T67" s="263">
        <f>IF(S67="","",IF(B67=SMALL(S$64:S$68,1),B67,""))</f>
        <v>54</v>
      </c>
      <c r="U67" s="263">
        <f t="shared" si="17"/>
        <v>54</v>
      </c>
      <c r="W67" s="464">
        <f t="shared" si="13"/>
        <v>65788.800000000003</v>
      </c>
    </row>
    <row r="68" spans="1:23" ht="17.100000000000001" customHeight="1" thickBot="1">
      <c r="A68" s="239">
        <v>10500</v>
      </c>
      <c r="B68" s="466">
        <f>IF(C68="O","",RANK(W68,W$24:W$83,1)+COUNTIF($W$24:W68,W68)-1)</f>
        <v>56</v>
      </c>
      <c r="C68" s="497"/>
      <c r="D68" s="234" t="s">
        <v>176</v>
      </c>
      <c r="E68" s="235">
        <v>48000</v>
      </c>
      <c r="F68" s="226">
        <v>100</v>
      </c>
      <c r="G68" s="243" t="str">
        <f t="shared" si="25"/>
        <v>50(무료)</v>
      </c>
      <c r="H68" s="8">
        <v>6000</v>
      </c>
      <c r="I68" s="8">
        <f t="shared" si="6"/>
        <v>10500</v>
      </c>
      <c r="J68" s="29">
        <f t="shared" si="26"/>
        <v>41250</v>
      </c>
      <c r="K68" s="88">
        <f t="shared" si="27"/>
        <v>22788</v>
      </c>
      <c r="L68" s="244">
        <f t="shared" si="28"/>
        <v>3020</v>
      </c>
      <c r="M68" s="59">
        <f t="shared" si="15"/>
        <v>69638.8</v>
      </c>
      <c r="N68" s="32" t="str">
        <f t="shared" si="8"/>
        <v/>
      </c>
      <c r="O68" s="679"/>
      <c r="P68" s="263">
        <f t="shared" si="9"/>
        <v>-4000</v>
      </c>
      <c r="Q68" s="426">
        <f t="shared" si="10"/>
        <v>56</v>
      </c>
      <c r="R68" s="263" t="str">
        <f>IF(B68=SMALL(B$64:B$68,1),B68,"")</f>
        <v/>
      </c>
      <c r="S68" s="263">
        <f t="shared" si="12"/>
        <v>56</v>
      </c>
      <c r="T68" s="263" t="str">
        <f>IF(S68="","",IF(B68=SMALL(S$64:S$68,1),B68,""))</f>
        <v/>
      </c>
      <c r="U68" s="263">
        <f t="shared" si="17"/>
        <v>56</v>
      </c>
      <c r="W68" s="464">
        <f t="shared" si="13"/>
        <v>69638.8</v>
      </c>
    </row>
    <row r="69" spans="1:23" ht="17.100000000000001" customHeight="1">
      <c r="A69" s="239">
        <v>7000</v>
      </c>
      <c r="B69" s="466">
        <f>IF(C69="O","",RANK(W69,W$24:W$83,1)+COUNTIF($W$24:W69,W69)-1)</f>
        <v>20</v>
      </c>
      <c r="C69" s="502"/>
      <c r="D69" s="230" t="s">
        <v>178</v>
      </c>
      <c r="E69" s="231">
        <v>36000</v>
      </c>
      <c r="F69" s="220">
        <v>200</v>
      </c>
      <c r="G69" s="240" t="str">
        <f t="shared" si="25"/>
        <v>50(무료)</v>
      </c>
      <c r="H69" s="16">
        <v>250</v>
      </c>
      <c r="I69" s="16">
        <f t="shared" si="6"/>
        <v>7000</v>
      </c>
      <c r="J69" s="27">
        <f t="shared" si="26"/>
        <v>31900.000000000004</v>
      </c>
      <c r="K69" s="82">
        <f t="shared" si="27"/>
        <v>11988</v>
      </c>
      <c r="L69" s="245">
        <f t="shared" si="28"/>
        <v>3020</v>
      </c>
      <c r="M69" s="53">
        <f t="shared" si="15"/>
        <v>48408.800000000003</v>
      </c>
      <c r="N69" s="30" t="str">
        <f t="shared" si="8"/>
        <v>데이터(1.75GB) 부족</v>
      </c>
      <c r="O69" s="677" t="s">
        <v>179</v>
      </c>
      <c r="P69" s="263">
        <f t="shared" si="9"/>
        <v>1750</v>
      </c>
      <c r="Q69" s="426">
        <f t="shared" si="10"/>
        <v>20</v>
      </c>
      <c r="R69" s="263">
        <f>IF(B69=SMALL(B$69:B$73,1),B69,"")</f>
        <v>20</v>
      </c>
      <c r="S69" s="263" t="str">
        <f t="shared" si="12"/>
        <v/>
      </c>
      <c r="T69" s="263" t="str">
        <f>IF(S69="","",IF(B69=SMALL(S$69:S$73,1),B69,""))</f>
        <v/>
      </c>
      <c r="U69" s="263">
        <f t="shared" si="17"/>
        <v>20</v>
      </c>
      <c r="W69" s="464">
        <f t="shared" si="13"/>
        <v>48408.800000000003</v>
      </c>
    </row>
    <row r="70" spans="1:23" ht="17.100000000000001" customHeight="1">
      <c r="A70" s="239">
        <v>7000</v>
      </c>
      <c r="B70" s="466">
        <f>IF(C70="O","",RANK(W70,W$24:W$83,1)+COUNTIF($W$24:W70,W70)-1)</f>
        <v>30</v>
      </c>
      <c r="C70" s="496"/>
      <c r="D70" s="232" t="s">
        <v>178</v>
      </c>
      <c r="E70" s="233">
        <v>39000</v>
      </c>
      <c r="F70" s="223">
        <v>200</v>
      </c>
      <c r="G70" s="241" t="str">
        <f t="shared" si="25"/>
        <v>50(무료)</v>
      </c>
      <c r="H70" s="6">
        <v>700</v>
      </c>
      <c r="I70" s="6">
        <f t="shared" si="6"/>
        <v>7000</v>
      </c>
      <c r="J70" s="28">
        <f t="shared" si="26"/>
        <v>35200</v>
      </c>
      <c r="K70" s="84">
        <f t="shared" si="27"/>
        <v>11988</v>
      </c>
      <c r="L70" s="242">
        <f t="shared" si="28"/>
        <v>3020</v>
      </c>
      <c r="M70" s="58">
        <f t="shared" si="15"/>
        <v>51708.800000000003</v>
      </c>
      <c r="N70" s="31" t="str">
        <f t="shared" si="8"/>
        <v>데이터(1.3GB) 부족</v>
      </c>
      <c r="O70" s="678"/>
      <c r="P70" s="263">
        <f t="shared" si="9"/>
        <v>1300</v>
      </c>
      <c r="Q70" s="426">
        <f t="shared" si="10"/>
        <v>30</v>
      </c>
      <c r="R70" s="263" t="str">
        <f>IF(B70=SMALL(B$69:B$73,1),B70,"")</f>
        <v/>
      </c>
      <c r="S70" s="263" t="str">
        <f t="shared" si="12"/>
        <v/>
      </c>
      <c r="T70" s="263" t="str">
        <f>IF(S70="","",IF(B70=SMALL(S$69:S$73,1),B70,""))</f>
        <v/>
      </c>
      <c r="U70" s="263">
        <f t="shared" si="17"/>
        <v>30</v>
      </c>
      <c r="W70" s="464">
        <f t="shared" si="13"/>
        <v>51708.800000000003</v>
      </c>
    </row>
    <row r="71" spans="1:23" ht="17.100000000000001" customHeight="1">
      <c r="A71" s="239">
        <v>10500</v>
      </c>
      <c r="B71" s="466">
        <f>IF(C71="O","",RANK(W71,W$24:W$83,1)+COUNTIF($W$24:W71,W71)-1)</f>
        <v>36</v>
      </c>
      <c r="C71" s="496"/>
      <c r="D71" s="232" t="s">
        <v>178</v>
      </c>
      <c r="E71" s="233">
        <v>44000</v>
      </c>
      <c r="F71" s="223">
        <v>200</v>
      </c>
      <c r="G71" s="241" t="str">
        <f t="shared" si="25"/>
        <v>50(무료)</v>
      </c>
      <c r="H71" s="6">
        <v>1500</v>
      </c>
      <c r="I71" s="6">
        <f t="shared" si="6"/>
        <v>10500</v>
      </c>
      <c r="J71" s="28">
        <f t="shared" si="26"/>
        <v>36850</v>
      </c>
      <c r="K71" s="84">
        <f t="shared" si="27"/>
        <v>11988</v>
      </c>
      <c r="L71" s="242">
        <f t="shared" si="28"/>
        <v>3020</v>
      </c>
      <c r="M71" s="58">
        <f t="shared" si="15"/>
        <v>53358.8</v>
      </c>
      <c r="N71" s="31" t="str">
        <f t="shared" si="8"/>
        <v>데이터(0.5GB) 부족</v>
      </c>
      <c r="O71" s="678"/>
      <c r="P71" s="263">
        <f t="shared" si="9"/>
        <v>500</v>
      </c>
      <c r="Q71" s="426">
        <f t="shared" si="10"/>
        <v>36</v>
      </c>
      <c r="R71" s="263" t="str">
        <f>IF(B71=SMALL(B$69:B$73,1),B71,"")</f>
        <v/>
      </c>
      <c r="S71" s="263" t="str">
        <f t="shared" si="12"/>
        <v/>
      </c>
      <c r="T71" s="263" t="str">
        <f>IF(S71="","",IF(B71=SMALL(S$69:S$73,1),B71,""))</f>
        <v/>
      </c>
      <c r="U71" s="263">
        <f t="shared" si="17"/>
        <v>36</v>
      </c>
      <c r="W71" s="464">
        <f t="shared" si="13"/>
        <v>53358.8</v>
      </c>
    </row>
    <row r="72" spans="1:23" ht="17.100000000000001" customHeight="1">
      <c r="A72" s="239">
        <v>10500</v>
      </c>
      <c r="B72" s="466">
        <f>IF(C72="O","",RANK(W72,W$24:W$83,1)+COUNTIF($W$24:W72,W72)-1)</f>
        <v>44</v>
      </c>
      <c r="C72" s="496"/>
      <c r="D72" s="232" t="s">
        <v>178</v>
      </c>
      <c r="E72" s="233">
        <v>49000</v>
      </c>
      <c r="F72" s="223">
        <v>200</v>
      </c>
      <c r="G72" s="241" t="str">
        <f t="shared" si="25"/>
        <v>50(무료)</v>
      </c>
      <c r="H72" s="6">
        <v>3000</v>
      </c>
      <c r="I72" s="6">
        <f t="shared" si="6"/>
        <v>10500</v>
      </c>
      <c r="J72" s="28">
        <f t="shared" si="26"/>
        <v>42350</v>
      </c>
      <c r="K72" s="84">
        <f t="shared" si="27"/>
        <v>11988</v>
      </c>
      <c r="L72" s="242">
        <f t="shared" si="28"/>
        <v>3020</v>
      </c>
      <c r="M72" s="58">
        <f t="shared" si="15"/>
        <v>58858.8</v>
      </c>
      <c r="N72" s="31" t="str">
        <f t="shared" si="8"/>
        <v/>
      </c>
      <c r="O72" s="678"/>
      <c r="P72" s="263">
        <f t="shared" si="9"/>
        <v>-1000</v>
      </c>
      <c r="Q72" s="426">
        <f t="shared" si="10"/>
        <v>44</v>
      </c>
      <c r="R72" s="263" t="str">
        <f>IF(B72=SMALL(B$69:B$73,1),B72,"")</f>
        <v/>
      </c>
      <c r="S72" s="263">
        <f t="shared" si="12"/>
        <v>44</v>
      </c>
      <c r="T72" s="263">
        <f>IF(S72="","",IF(B72=SMALL(S$69:S$73,1),B72,""))</f>
        <v>44</v>
      </c>
      <c r="U72" s="263">
        <f t="shared" si="17"/>
        <v>44</v>
      </c>
      <c r="W72" s="464">
        <f t="shared" si="13"/>
        <v>58858.8</v>
      </c>
    </row>
    <row r="73" spans="1:23" ht="17.100000000000001" customHeight="1" thickBot="1">
      <c r="A73" s="239">
        <v>13500</v>
      </c>
      <c r="B73" s="466">
        <f>IF(C73="O","",RANK(W73,W$24:W$83,1)+COUNTIF($W$24:W73,W73)-1)</f>
        <v>52</v>
      </c>
      <c r="C73" s="503"/>
      <c r="D73" s="236" t="s">
        <v>178</v>
      </c>
      <c r="E73" s="235">
        <v>56000</v>
      </c>
      <c r="F73" s="226">
        <v>200</v>
      </c>
      <c r="G73" s="243" t="str">
        <f t="shared" si="25"/>
        <v>50(무료)</v>
      </c>
      <c r="H73" s="8">
        <v>6000</v>
      </c>
      <c r="I73" s="8">
        <f t="shared" si="6"/>
        <v>13500</v>
      </c>
      <c r="J73" s="29">
        <f t="shared" si="26"/>
        <v>46750.000000000007</v>
      </c>
      <c r="K73" s="86">
        <f t="shared" si="27"/>
        <v>11988</v>
      </c>
      <c r="L73" s="244">
        <f t="shared" si="28"/>
        <v>3020</v>
      </c>
      <c r="M73" s="59">
        <f t="shared" si="15"/>
        <v>63258.80000000001</v>
      </c>
      <c r="N73" s="32" t="str">
        <f t="shared" si="8"/>
        <v/>
      </c>
      <c r="O73" s="679"/>
      <c r="P73" s="263">
        <f t="shared" si="9"/>
        <v>-4000</v>
      </c>
      <c r="Q73" s="426">
        <f t="shared" si="10"/>
        <v>52</v>
      </c>
      <c r="R73" s="263" t="str">
        <f>IF(B73=SMALL(B$69:B$73,1),B73,"")</f>
        <v/>
      </c>
      <c r="S73" s="263">
        <f t="shared" si="12"/>
        <v>52</v>
      </c>
      <c r="T73" s="263" t="str">
        <f>IF(S73="","",IF(B73=SMALL(S$69:S$73,1),B73,""))</f>
        <v/>
      </c>
      <c r="U73" s="263">
        <f t="shared" si="17"/>
        <v>52</v>
      </c>
      <c r="W73" s="464">
        <f t="shared" si="13"/>
        <v>63258.80000000001</v>
      </c>
    </row>
    <row r="74" spans="1:23" ht="17.100000000000001" customHeight="1">
      <c r="A74" s="239">
        <v>10500</v>
      </c>
      <c r="B74" s="466">
        <f>IF(C74="O","",RANK(W74,W$24:W$83,1)+COUNTIF($W$24:W74,W74)-1)</f>
        <v>10</v>
      </c>
      <c r="C74" s="495"/>
      <c r="D74" s="237" t="s">
        <v>180</v>
      </c>
      <c r="E74" s="231">
        <v>44500</v>
      </c>
      <c r="F74" s="220">
        <v>300</v>
      </c>
      <c r="G74" s="240" t="str">
        <f t="shared" si="25"/>
        <v>50(무료)</v>
      </c>
      <c r="H74" s="16">
        <v>250</v>
      </c>
      <c r="I74" s="16">
        <f t="shared" si="6"/>
        <v>10500</v>
      </c>
      <c r="J74" s="27">
        <f t="shared" si="26"/>
        <v>37400</v>
      </c>
      <c r="K74" s="89">
        <f t="shared" si="27"/>
        <v>1188</v>
      </c>
      <c r="L74" s="245">
        <f t="shared" si="28"/>
        <v>3020</v>
      </c>
      <c r="M74" s="53">
        <f t="shared" si="15"/>
        <v>42028.800000000003</v>
      </c>
      <c r="N74" s="30" t="str">
        <f t="shared" si="8"/>
        <v>데이터(1.75GB) 부족</v>
      </c>
      <c r="O74" s="677" t="s">
        <v>181</v>
      </c>
      <c r="P74" s="263">
        <f t="shared" si="9"/>
        <v>1750</v>
      </c>
      <c r="Q74" s="426">
        <f t="shared" si="10"/>
        <v>10</v>
      </c>
      <c r="R74" s="263">
        <f>IF(B74=SMALL(B$74:B$78,1),B74,"")</f>
        <v>10</v>
      </c>
      <c r="S74" s="263" t="str">
        <f t="shared" si="12"/>
        <v/>
      </c>
      <c r="T74" s="263" t="str">
        <f>IF(S74="","",IF(B74=SMALL(S$74:S$78,1),B74,""))</f>
        <v/>
      </c>
      <c r="U74" s="263">
        <f t="shared" si="17"/>
        <v>10</v>
      </c>
      <c r="W74" s="464">
        <f t="shared" si="13"/>
        <v>42028.800000000003</v>
      </c>
    </row>
    <row r="75" spans="1:23" ht="17.100000000000001" customHeight="1">
      <c r="A75" s="239">
        <v>10500</v>
      </c>
      <c r="B75" s="466">
        <f>IF(C75="O","",RANK(W75,W$24:W$83,1)+COUNTIF($W$24:W75,W75)-1)</f>
        <v>15</v>
      </c>
      <c r="C75" s="496"/>
      <c r="D75" s="232" t="s">
        <v>180</v>
      </c>
      <c r="E75" s="233">
        <v>48000</v>
      </c>
      <c r="F75" s="223">
        <v>300</v>
      </c>
      <c r="G75" s="241" t="str">
        <f t="shared" si="25"/>
        <v>50(무료)</v>
      </c>
      <c r="H75" s="6">
        <v>700</v>
      </c>
      <c r="I75" s="6">
        <f t="shared" si="6"/>
        <v>10500</v>
      </c>
      <c r="J75" s="28">
        <f t="shared" si="26"/>
        <v>41250</v>
      </c>
      <c r="K75" s="84">
        <f t="shared" si="27"/>
        <v>1188</v>
      </c>
      <c r="L75" s="242">
        <f t="shared" si="28"/>
        <v>3020</v>
      </c>
      <c r="M75" s="58">
        <f t="shared" si="15"/>
        <v>45878.8</v>
      </c>
      <c r="N75" s="31" t="str">
        <f t="shared" si="8"/>
        <v>데이터(1.3GB) 부족</v>
      </c>
      <c r="O75" s="678"/>
      <c r="P75" s="263">
        <f t="shared" si="9"/>
        <v>1300</v>
      </c>
      <c r="Q75" s="426">
        <f t="shared" si="10"/>
        <v>15</v>
      </c>
      <c r="R75" s="263" t="str">
        <f>IF(B75=SMALL(B$74:B$78,1),B75,"")</f>
        <v/>
      </c>
      <c r="S75" s="263" t="str">
        <f t="shared" si="12"/>
        <v/>
      </c>
      <c r="T75" s="263" t="str">
        <f>IF(S75="","",IF(B75=SMALL(S$74:S$78,1),B75,""))</f>
        <v/>
      </c>
      <c r="U75" s="263">
        <f t="shared" si="17"/>
        <v>15</v>
      </c>
      <c r="W75" s="464">
        <f t="shared" si="13"/>
        <v>45878.8</v>
      </c>
    </row>
    <row r="76" spans="1:23" ht="17.100000000000001" customHeight="1">
      <c r="A76" s="239">
        <v>10500</v>
      </c>
      <c r="B76" s="466">
        <f>IF(C76="O","",RANK(W76,W$24:W$83,1)+COUNTIF($W$24:W76,W76)-1)</f>
        <v>22</v>
      </c>
      <c r="C76" s="496"/>
      <c r="D76" s="232" t="s">
        <v>180</v>
      </c>
      <c r="E76" s="233">
        <v>51000</v>
      </c>
      <c r="F76" s="223">
        <v>300</v>
      </c>
      <c r="G76" s="241" t="str">
        <f t="shared" si="25"/>
        <v>50(무료)</v>
      </c>
      <c r="H76" s="6">
        <v>1500</v>
      </c>
      <c r="I76" s="6">
        <f t="shared" si="6"/>
        <v>10500</v>
      </c>
      <c r="J76" s="28">
        <f t="shared" si="26"/>
        <v>44550</v>
      </c>
      <c r="K76" s="84">
        <f t="shared" si="27"/>
        <v>1188</v>
      </c>
      <c r="L76" s="242">
        <f t="shared" si="28"/>
        <v>3020</v>
      </c>
      <c r="M76" s="58">
        <f t="shared" si="15"/>
        <v>49178.8</v>
      </c>
      <c r="N76" s="31" t="str">
        <f t="shared" si="8"/>
        <v>데이터(0.5GB) 부족</v>
      </c>
      <c r="O76" s="678"/>
      <c r="P76" s="263">
        <f t="shared" si="9"/>
        <v>500</v>
      </c>
      <c r="Q76" s="426">
        <f t="shared" si="10"/>
        <v>22</v>
      </c>
      <c r="R76" s="263" t="str">
        <f>IF(B76=SMALL(B$74:B$78,1),B76,"")</f>
        <v/>
      </c>
      <c r="S76" s="263" t="str">
        <f t="shared" si="12"/>
        <v/>
      </c>
      <c r="T76" s="263" t="str">
        <f>IF(S76="","",IF(B76=SMALL(S$74:S$78,1),B76,""))</f>
        <v/>
      </c>
      <c r="U76" s="263">
        <f t="shared" si="17"/>
        <v>22</v>
      </c>
      <c r="W76" s="464">
        <f t="shared" si="13"/>
        <v>49178.8</v>
      </c>
    </row>
    <row r="77" spans="1:23" ht="17.100000000000001" customHeight="1">
      <c r="A77" s="239">
        <v>13500</v>
      </c>
      <c r="B77" s="466">
        <f>IF(C77="O","",RANK(W77,W$24:W$83,1)+COUNTIF($W$24:W77,W77)-1)</f>
        <v>28</v>
      </c>
      <c r="C77" s="496"/>
      <c r="D77" s="232" t="s">
        <v>180</v>
      </c>
      <c r="E77" s="233">
        <v>55000</v>
      </c>
      <c r="F77" s="223">
        <v>300</v>
      </c>
      <c r="G77" s="241" t="str">
        <f t="shared" si="25"/>
        <v>50(무료)</v>
      </c>
      <c r="H77" s="6">
        <v>3000</v>
      </c>
      <c r="I77" s="6">
        <f t="shared" si="6"/>
        <v>13500</v>
      </c>
      <c r="J77" s="28">
        <f t="shared" si="26"/>
        <v>45650.000000000007</v>
      </c>
      <c r="K77" s="84">
        <f t="shared" si="27"/>
        <v>1188</v>
      </c>
      <c r="L77" s="242">
        <f t="shared" si="28"/>
        <v>3020</v>
      </c>
      <c r="M77" s="58">
        <f t="shared" si="15"/>
        <v>50278.80000000001</v>
      </c>
      <c r="N77" s="31" t="str">
        <f t="shared" si="8"/>
        <v/>
      </c>
      <c r="O77" s="678"/>
      <c r="P77" s="263">
        <f t="shared" si="9"/>
        <v>-1000</v>
      </c>
      <c r="Q77" s="426">
        <f t="shared" si="10"/>
        <v>28</v>
      </c>
      <c r="R77" s="263" t="str">
        <f>IF(B77=SMALL(B$74:B$78,1),B77,"")</f>
        <v/>
      </c>
      <c r="S77" s="263">
        <f t="shared" si="12"/>
        <v>28</v>
      </c>
      <c r="T77" s="263">
        <f>IF(S77="","",IF(B77=SMALL(S$74:S$78,1),B77,""))</f>
        <v>28</v>
      </c>
      <c r="U77" s="263">
        <f t="shared" si="17"/>
        <v>28</v>
      </c>
      <c r="W77" s="464">
        <f t="shared" si="13"/>
        <v>50278.80000000001</v>
      </c>
    </row>
    <row r="78" spans="1:23" ht="17.100000000000001" customHeight="1" thickBot="1">
      <c r="A78" s="239">
        <v>13500</v>
      </c>
      <c r="B78" s="466">
        <f>IF(C78="O","",RANK(W78,W$24:W$83,1)+COUNTIF($W$24:W78,W78)-1)</f>
        <v>42</v>
      </c>
      <c r="C78" s="497"/>
      <c r="D78" s="234" t="s">
        <v>180</v>
      </c>
      <c r="E78" s="235">
        <v>61000</v>
      </c>
      <c r="F78" s="226">
        <v>300</v>
      </c>
      <c r="G78" s="243" t="str">
        <f t="shared" si="25"/>
        <v>50(무료)</v>
      </c>
      <c r="H78" s="8">
        <v>6000</v>
      </c>
      <c r="I78" s="8">
        <f t="shared" si="6"/>
        <v>13500</v>
      </c>
      <c r="J78" s="29">
        <f t="shared" si="26"/>
        <v>52250.000000000007</v>
      </c>
      <c r="K78" s="88">
        <f t="shared" si="27"/>
        <v>1188</v>
      </c>
      <c r="L78" s="244">
        <f t="shared" si="28"/>
        <v>3020</v>
      </c>
      <c r="M78" s="59">
        <f t="shared" si="15"/>
        <v>56878.80000000001</v>
      </c>
      <c r="N78" s="32" t="str">
        <f t="shared" si="8"/>
        <v/>
      </c>
      <c r="O78" s="679"/>
      <c r="P78" s="263">
        <f t="shared" si="9"/>
        <v>-4000</v>
      </c>
      <c r="Q78" s="426">
        <f t="shared" si="10"/>
        <v>42</v>
      </c>
      <c r="R78" s="263" t="str">
        <f>IF(B78=SMALL(B$74:B$78,1),B78,"")</f>
        <v/>
      </c>
      <c r="S78" s="263">
        <f t="shared" si="12"/>
        <v>42</v>
      </c>
      <c r="T78" s="263" t="str">
        <f>IF(S78="","",IF(B78=SMALL(S$74:S$78,1),B78,""))</f>
        <v/>
      </c>
      <c r="U78" s="263">
        <f t="shared" si="17"/>
        <v>42</v>
      </c>
      <c r="W78" s="464">
        <f t="shared" si="13"/>
        <v>56878.80000000001</v>
      </c>
    </row>
    <row r="79" spans="1:23" ht="17.100000000000001" customHeight="1">
      <c r="A79" s="239">
        <v>13500</v>
      </c>
      <c r="B79" s="466">
        <f>IF(C79="O","",RANK(W79,W$24:W$83,1)+COUNTIF($W$24:W79,W79)-1)</f>
        <v>21</v>
      </c>
      <c r="C79" s="502"/>
      <c r="D79" s="230" t="s">
        <v>182</v>
      </c>
      <c r="E79" s="231">
        <v>54500</v>
      </c>
      <c r="F79" s="220">
        <v>400</v>
      </c>
      <c r="G79" s="240" t="str">
        <f t="shared" si="25"/>
        <v>50(무료)</v>
      </c>
      <c r="H79" s="16">
        <v>250</v>
      </c>
      <c r="I79" s="16">
        <f t="shared" si="6"/>
        <v>13500</v>
      </c>
      <c r="J79" s="27">
        <f t="shared" si="26"/>
        <v>45100.000000000007</v>
      </c>
      <c r="K79" s="82">
        <f t="shared" si="27"/>
        <v>0</v>
      </c>
      <c r="L79" s="245">
        <f t="shared" si="28"/>
        <v>3020</v>
      </c>
      <c r="M79" s="53">
        <f t="shared" si="15"/>
        <v>48422.000000000007</v>
      </c>
      <c r="N79" s="30" t="str">
        <f t="shared" si="8"/>
        <v>데이터(1.75GB) 부족</v>
      </c>
      <c r="O79" s="677" t="s">
        <v>183</v>
      </c>
      <c r="P79" s="263">
        <f t="shared" si="9"/>
        <v>1750</v>
      </c>
      <c r="Q79" s="426">
        <f t="shared" si="10"/>
        <v>21</v>
      </c>
      <c r="R79" s="263">
        <f>IF(B79=SMALL(B$79:B$83,1),B79,"")</f>
        <v>21</v>
      </c>
      <c r="S79" s="263" t="str">
        <f t="shared" si="12"/>
        <v/>
      </c>
      <c r="T79" s="263" t="str">
        <f>IF(S79="","",IF(B79=SMALL(S$79:S$83,1),B79,""))</f>
        <v/>
      </c>
      <c r="U79" s="263">
        <f t="shared" si="17"/>
        <v>21</v>
      </c>
      <c r="W79" s="464">
        <f t="shared" si="13"/>
        <v>48422.000000000007</v>
      </c>
    </row>
    <row r="80" spans="1:23" ht="17.100000000000001" customHeight="1">
      <c r="A80" s="239">
        <v>13500</v>
      </c>
      <c r="B80" s="466">
        <f>IF(C80="O","",RANK(W80,W$24:W$83,1)+COUNTIF($W$24:W80,W80)-1)</f>
        <v>31</v>
      </c>
      <c r="C80" s="496"/>
      <c r="D80" s="232" t="s">
        <v>182</v>
      </c>
      <c r="E80" s="233">
        <v>57500</v>
      </c>
      <c r="F80" s="223">
        <v>400</v>
      </c>
      <c r="G80" s="241" t="str">
        <f t="shared" si="25"/>
        <v>50(무료)</v>
      </c>
      <c r="H80" s="6">
        <v>700</v>
      </c>
      <c r="I80" s="6">
        <f t="shared" si="6"/>
        <v>13500</v>
      </c>
      <c r="J80" s="28">
        <f t="shared" si="26"/>
        <v>48400.000000000007</v>
      </c>
      <c r="K80" s="84">
        <f t="shared" si="27"/>
        <v>0</v>
      </c>
      <c r="L80" s="242">
        <f t="shared" si="28"/>
        <v>3020</v>
      </c>
      <c r="M80" s="58">
        <f t="shared" si="15"/>
        <v>51722.000000000007</v>
      </c>
      <c r="N80" s="31" t="str">
        <f t="shared" si="8"/>
        <v>데이터(1.3GB) 부족</v>
      </c>
      <c r="O80" s="678"/>
      <c r="P80" s="263">
        <f t="shared" si="9"/>
        <v>1300</v>
      </c>
      <c r="Q80" s="426">
        <f t="shared" si="10"/>
        <v>31</v>
      </c>
      <c r="R80" s="263" t="str">
        <f>IF(B80=SMALL(B$79:B$83,1),B80,"")</f>
        <v/>
      </c>
      <c r="S80" s="263" t="str">
        <f t="shared" si="12"/>
        <v/>
      </c>
      <c r="T80" s="263" t="str">
        <f>IF(S80="","",IF(B80=SMALL(S$79:S$83,1),B80,""))</f>
        <v/>
      </c>
      <c r="U80" s="263">
        <f t="shared" si="17"/>
        <v>31</v>
      </c>
      <c r="W80" s="464">
        <f t="shared" si="13"/>
        <v>51722.000000000007</v>
      </c>
    </row>
    <row r="81" spans="1:23" ht="17.100000000000001" customHeight="1">
      <c r="A81" s="239">
        <v>13500</v>
      </c>
      <c r="B81" s="466">
        <f>IF(C81="O","",RANK(W81,W$24:W$83,1)+COUNTIF($W$24:W81,W81)-1)</f>
        <v>38</v>
      </c>
      <c r="C81" s="496"/>
      <c r="D81" s="232" t="s">
        <v>182</v>
      </c>
      <c r="E81" s="233">
        <v>60500</v>
      </c>
      <c r="F81" s="223">
        <v>400</v>
      </c>
      <c r="G81" s="241" t="str">
        <f t="shared" si="25"/>
        <v>50(무료)</v>
      </c>
      <c r="H81" s="6">
        <v>1500</v>
      </c>
      <c r="I81" s="6">
        <f t="shared" si="6"/>
        <v>13500</v>
      </c>
      <c r="J81" s="28">
        <f t="shared" si="26"/>
        <v>51700.000000000007</v>
      </c>
      <c r="K81" s="84">
        <f t="shared" si="27"/>
        <v>0</v>
      </c>
      <c r="L81" s="242">
        <f t="shared" si="28"/>
        <v>3020</v>
      </c>
      <c r="M81" s="58">
        <f t="shared" si="15"/>
        <v>55022.000000000007</v>
      </c>
      <c r="N81" s="31" t="str">
        <f t="shared" si="8"/>
        <v>데이터(0.5GB) 부족</v>
      </c>
      <c r="O81" s="678"/>
      <c r="P81" s="263">
        <f t="shared" si="9"/>
        <v>500</v>
      </c>
      <c r="Q81" s="426">
        <f t="shared" si="10"/>
        <v>38</v>
      </c>
      <c r="R81" s="263" t="str">
        <f>IF(B81=SMALL(B$79:B$83,1),B81,"")</f>
        <v/>
      </c>
      <c r="S81" s="263" t="str">
        <f t="shared" si="12"/>
        <v/>
      </c>
      <c r="T81" s="263" t="str">
        <f>IF(S81="","",IF(B81=SMALL(S$79:S$83,1),B81,""))</f>
        <v/>
      </c>
      <c r="U81" s="263">
        <f t="shared" si="17"/>
        <v>38</v>
      </c>
      <c r="W81" s="464">
        <f t="shared" si="13"/>
        <v>55022.000000000007</v>
      </c>
    </row>
    <row r="82" spans="1:23" ht="17.100000000000001" customHeight="1">
      <c r="A82" s="239">
        <v>16000</v>
      </c>
      <c r="B82" s="466">
        <f>IF(C82="O","",RANK(W82,W$24:W$83,1)+COUNTIF($W$24:W82,W82)-1)</f>
        <v>40</v>
      </c>
      <c r="C82" s="496"/>
      <c r="D82" s="232" t="s">
        <v>182</v>
      </c>
      <c r="E82" s="233">
        <v>64000</v>
      </c>
      <c r="F82" s="223">
        <v>400</v>
      </c>
      <c r="G82" s="241" t="str">
        <f t="shared" si="25"/>
        <v>50(무료)</v>
      </c>
      <c r="H82" s="6">
        <v>3000</v>
      </c>
      <c r="I82" s="6">
        <f t="shared" si="6"/>
        <v>16000</v>
      </c>
      <c r="J82" s="28">
        <f t="shared" si="26"/>
        <v>52800.000000000007</v>
      </c>
      <c r="K82" s="84">
        <f t="shared" si="27"/>
        <v>0</v>
      </c>
      <c r="L82" s="242">
        <f t="shared" si="28"/>
        <v>3020</v>
      </c>
      <c r="M82" s="58">
        <f t="shared" si="15"/>
        <v>56122.000000000007</v>
      </c>
      <c r="N82" s="31" t="str">
        <f t="shared" si="8"/>
        <v/>
      </c>
      <c r="O82" s="678"/>
      <c r="P82" s="263">
        <f t="shared" si="9"/>
        <v>-1000</v>
      </c>
      <c r="Q82" s="426">
        <f t="shared" si="10"/>
        <v>40</v>
      </c>
      <c r="R82" s="263" t="str">
        <f>IF(B82=SMALL(B$79:B$83,1),B82,"")</f>
        <v/>
      </c>
      <c r="S82" s="263">
        <f t="shared" si="12"/>
        <v>40</v>
      </c>
      <c r="T82" s="263">
        <f>IF(S82="","",IF(B82=SMALL(S$79:S$83,1),B82,""))</f>
        <v>40</v>
      </c>
      <c r="U82" s="263">
        <f t="shared" si="17"/>
        <v>40</v>
      </c>
      <c r="W82" s="464">
        <f t="shared" si="13"/>
        <v>56122.000000000007</v>
      </c>
    </row>
    <row r="83" spans="1:23" ht="17.100000000000001" customHeight="1" thickBot="1">
      <c r="A83" s="239">
        <v>16000</v>
      </c>
      <c r="B83" s="466">
        <f>IF(C83="O","",RANK(W83,W$24:W$83,1)+COUNTIF($W$24:W83,W83)-1)</f>
        <v>48</v>
      </c>
      <c r="C83" s="503"/>
      <c r="D83" s="236" t="s">
        <v>182</v>
      </c>
      <c r="E83" s="235">
        <v>67500</v>
      </c>
      <c r="F83" s="226">
        <v>400</v>
      </c>
      <c r="G83" s="243" t="str">
        <f t="shared" si="25"/>
        <v>50(무료)</v>
      </c>
      <c r="H83" s="8">
        <v>6000</v>
      </c>
      <c r="I83" s="8">
        <f t="shared" si="6"/>
        <v>16000</v>
      </c>
      <c r="J83" s="29">
        <f t="shared" si="26"/>
        <v>56650.000000000007</v>
      </c>
      <c r="K83" s="86">
        <f t="shared" si="27"/>
        <v>0</v>
      </c>
      <c r="L83" s="244">
        <f t="shared" si="28"/>
        <v>3020</v>
      </c>
      <c r="M83" s="59">
        <f t="shared" si="15"/>
        <v>59972.000000000007</v>
      </c>
      <c r="N83" s="32" t="str">
        <f t="shared" si="8"/>
        <v/>
      </c>
      <c r="O83" s="679"/>
      <c r="P83" s="263">
        <f t="shared" si="9"/>
        <v>-4000</v>
      </c>
      <c r="Q83" s="426">
        <f t="shared" si="10"/>
        <v>48</v>
      </c>
      <c r="R83" s="263" t="str">
        <f>IF(B83=SMALL(B$79:B$83,1),B83,"")</f>
        <v/>
      </c>
      <c r="S83" s="263">
        <f t="shared" si="12"/>
        <v>48</v>
      </c>
      <c r="T83" s="263" t="str">
        <f>IF(S83="","",IF(B83=SMALL(S$79:S$83,1),B83,""))</f>
        <v/>
      </c>
      <c r="U83" s="263">
        <f t="shared" si="17"/>
        <v>48</v>
      </c>
      <c r="W83" s="464">
        <f t="shared" si="13"/>
        <v>59972.000000000007</v>
      </c>
    </row>
    <row r="84" spans="1:23" s="188" customFormat="1" ht="16.5" customHeight="1">
      <c r="A84" s="187"/>
      <c r="B84" s="187"/>
      <c r="C84" s="187"/>
      <c r="D84" s="187"/>
      <c r="E84" s="187"/>
      <c r="F84" s="187"/>
      <c r="G84" s="187"/>
      <c r="H84" s="187"/>
      <c r="I84" s="187"/>
      <c r="J84" s="187"/>
      <c r="K84" s="187"/>
      <c r="L84" s="187"/>
      <c r="M84" s="187"/>
      <c r="N84" s="187"/>
      <c r="O84" s="187"/>
      <c r="P84" s="419"/>
      <c r="Q84" s="419"/>
      <c r="R84" s="419"/>
      <c r="S84" s="419"/>
      <c r="T84" s="419"/>
      <c r="U84" s="419"/>
      <c r="V84" s="420"/>
      <c r="W84" s="420"/>
    </row>
    <row r="85" spans="1:23" s="188" customFormat="1" ht="17.100000000000001" customHeight="1">
      <c r="A85" s="187"/>
      <c r="B85" s="187"/>
      <c r="C85" s="187"/>
      <c r="D85" s="273" t="s">
        <v>226</v>
      </c>
      <c r="E85" s="187"/>
      <c r="F85" s="187"/>
      <c r="G85" s="187"/>
      <c r="H85" s="187"/>
      <c r="I85" s="187"/>
      <c r="J85" s="187"/>
      <c r="K85" s="187"/>
      <c r="L85" s="187"/>
      <c r="M85" s="187"/>
      <c r="N85" s="187"/>
      <c r="O85" s="187"/>
      <c r="P85" s="419"/>
      <c r="Q85" s="419"/>
      <c r="R85" s="419"/>
      <c r="S85" s="419"/>
      <c r="T85" s="419"/>
      <c r="U85" s="419"/>
      <c r="V85" s="420"/>
      <c r="W85" s="420"/>
    </row>
    <row r="86" spans="1:23" s="188" customFormat="1" ht="17.100000000000001" customHeight="1">
      <c r="A86" s="187"/>
      <c r="B86" s="187"/>
      <c r="C86" s="187"/>
      <c r="D86" s="187" t="s">
        <v>227</v>
      </c>
      <c r="E86" s="187"/>
      <c r="F86" s="187"/>
      <c r="G86" s="187"/>
      <c r="H86" s="187"/>
      <c r="I86" s="187"/>
      <c r="J86" s="187"/>
      <c r="K86" s="187"/>
      <c r="L86" s="187"/>
      <c r="M86" s="187"/>
      <c r="N86" s="187"/>
      <c r="O86" s="187"/>
      <c r="P86" s="419"/>
      <c r="Q86" s="419"/>
      <c r="R86" s="419"/>
      <c r="S86" s="419"/>
      <c r="T86" s="419"/>
      <c r="U86" s="419"/>
      <c r="V86" s="420"/>
      <c r="W86" s="420"/>
    </row>
    <row r="87" spans="1:23" s="188" customFormat="1" ht="17.100000000000001" customHeight="1">
      <c r="A87" s="187"/>
      <c r="B87" s="187"/>
      <c r="C87" s="187"/>
      <c r="D87" s="187" t="s">
        <v>224</v>
      </c>
      <c r="E87" s="187"/>
      <c r="F87" s="187"/>
      <c r="G87" s="187"/>
      <c r="H87" s="187"/>
      <c r="I87" s="187"/>
      <c r="J87" s="187"/>
      <c r="K87" s="187"/>
      <c r="L87" s="187"/>
      <c r="M87" s="187"/>
      <c r="N87" s="187"/>
      <c r="O87" s="187"/>
      <c r="P87" s="419"/>
      <c r="Q87" s="419"/>
      <c r="R87" s="419"/>
      <c r="S87" s="419"/>
      <c r="T87" s="419"/>
      <c r="U87" s="419"/>
      <c r="V87" s="420"/>
      <c r="W87" s="420"/>
    </row>
    <row r="88" spans="1:23" s="188" customFormat="1" ht="17.100000000000001" customHeight="1">
      <c r="A88" s="187"/>
      <c r="B88" s="187"/>
      <c r="C88" s="187"/>
      <c r="D88" s="273" t="s">
        <v>225</v>
      </c>
      <c r="E88" s="187"/>
      <c r="F88" s="187"/>
      <c r="G88" s="187"/>
      <c r="H88" s="187"/>
      <c r="I88" s="187"/>
      <c r="J88" s="187"/>
      <c r="K88" s="187"/>
      <c r="L88" s="187"/>
      <c r="M88" s="187"/>
      <c r="N88" s="187"/>
      <c r="O88" s="187"/>
      <c r="P88" s="419"/>
      <c r="Q88" s="419"/>
      <c r="R88" s="419"/>
      <c r="S88" s="419"/>
      <c r="T88" s="419"/>
      <c r="U88" s="419"/>
      <c r="V88" s="420"/>
      <c r="W88" s="420"/>
    </row>
    <row r="89" spans="1:23" s="188" customFormat="1" ht="17.100000000000001" customHeight="1">
      <c r="A89" s="187"/>
      <c r="B89" s="187"/>
      <c r="C89" s="187"/>
      <c r="D89" s="187"/>
      <c r="E89" s="187"/>
      <c r="F89" s="187"/>
      <c r="G89" s="187"/>
      <c r="H89" s="187"/>
      <c r="I89" s="187"/>
      <c r="J89" s="187"/>
      <c r="K89" s="187"/>
      <c r="L89" s="187"/>
      <c r="M89" s="187"/>
      <c r="N89" s="187"/>
      <c r="O89" s="187"/>
      <c r="P89" s="419"/>
      <c r="Q89" s="419"/>
      <c r="R89" s="419"/>
      <c r="S89" s="419"/>
      <c r="T89" s="419"/>
      <c r="U89" s="419"/>
      <c r="V89" s="420"/>
      <c r="W89" s="420"/>
    </row>
    <row r="90" spans="1:23" s="188" customFormat="1" ht="17.100000000000001" customHeight="1">
      <c r="A90" s="187"/>
      <c r="B90" s="187"/>
      <c r="C90" s="187"/>
      <c r="D90" s="187"/>
      <c r="E90" s="187"/>
      <c r="F90" s="187"/>
      <c r="G90" s="187"/>
      <c r="H90" s="187"/>
      <c r="I90" s="187"/>
      <c r="J90" s="187"/>
      <c r="K90" s="187"/>
      <c r="L90" s="187"/>
      <c r="M90" s="187"/>
      <c r="N90" s="187"/>
      <c r="O90" s="187"/>
      <c r="P90" s="419"/>
      <c r="Q90" s="419"/>
      <c r="R90" s="419"/>
      <c r="S90" s="419"/>
      <c r="T90" s="419"/>
      <c r="U90" s="419"/>
      <c r="V90" s="420"/>
      <c r="W90" s="420"/>
    </row>
    <row r="91" spans="1:23" s="188" customFormat="1" ht="17.100000000000001" customHeight="1">
      <c r="A91" s="187"/>
      <c r="B91" s="187"/>
      <c r="C91" s="187"/>
      <c r="D91" s="187"/>
      <c r="E91" s="187"/>
      <c r="F91" s="187"/>
      <c r="G91" s="187"/>
      <c r="H91" s="187"/>
      <c r="I91" s="187"/>
      <c r="J91" s="187"/>
      <c r="K91" s="187"/>
      <c r="L91" s="187"/>
      <c r="M91" s="187"/>
      <c r="N91" s="187"/>
      <c r="O91" s="187"/>
      <c r="P91" s="419"/>
      <c r="Q91" s="419"/>
      <c r="R91" s="419"/>
      <c r="S91" s="419"/>
      <c r="T91" s="419"/>
      <c r="U91" s="419"/>
      <c r="V91" s="420"/>
      <c r="W91" s="420"/>
    </row>
    <row r="92" spans="1:23" s="188" customFormat="1" ht="17.100000000000001" customHeight="1">
      <c r="A92" s="187"/>
      <c r="B92" s="187"/>
      <c r="C92" s="187"/>
      <c r="D92" s="187"/>
      <c r="E92" s="187"/>
      <c r="F92" s="187"/>
      <c r="G92" s="187"/>
      <c r="H92" s="187"/>
      <c r="I92" s="187"/>
      <c r="J92" s="187"/>
      <c r="K92" s="187"/>
      <c r="L92" s="187"/>
      <c r="M92" s="187"/>
      <c r="N92" s="187"/>
      <c r="O92" s="187"/>
      <c r="P92" s="419"/>
      <c r="Q92" s="419"/>
      <c r="R92" s="419"/>
      <c r="S92" s="419"/>
      <c r="T92" s="419"/>
      <c r="U92" s="419"/>
      <c r="V92" s="420"/>
      <c r="W92" s="420"/>
    </row>
    <row r="93" spans="1:23" s="188" customFormat="1" ht="17.100000000000001" customHeight="1">
      <c r="A93" s="187"/>
      <c r="B93" s="187"/>
      <c r="C93" s="187"/>
      <c r="D93" s="187"/>
      <c r="E93" s="187"/>
      <c r="F93" s="187"/>
      <c r="G93" s="187"/>
      <c r="H93" s="187"/>
      <c r="I93" s="187"/>
      <c r="J93" s="187"/>
      <c r="K93" s="187"/>
      <c r="L93" s="187"/>
      <c r="M93" s="187"/>
      <c r="N93" s="187"/>
      <c r="O93" s="187"/>
      <c r="P93" s="419"/>
      <c r="Q93" s="419"/>
      <c r="R93" s="419"/>
      <c r="S93" s="419"/>
      <c r="T93" s="419"/>
      <c r="U93" s="419"/>
      <c r="V93" s="420"/>
      <c r="W93" s="420"/>
    </row>
    <row r="94" spans="1:23" s="188" customFormat="1" ht="17.100000000000001" customHeight="1">
      <c r="A94" s="187"/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  <c r="P94" s="419"/>
      <c r="Q94" s="419"/>
      <c r="R94" s="419"/>
      <c r="S94" s="419"/>
      <c r="T94" s="419"/>
      <c r="U94" s="419"/>
      <c r="V94" s="420"/>
      <c r="W94" s="420"/>
    </row>
    <row r="95" spans="1:23">
      <c r="C95" s="189"/>
      <c r="D95" s="189"/>
      <c r="E95" s="189"/>
      <c r="F95" s="189"/>
      <c r="G95" s="189"/>
      <c r="H95" s="189"/>
      <c r="I95" s="189"/>
      <c r="J95" s="189"/>
      <c r="K95" s="189"/>
      <c r="L95" s="189"/>
      <c r="M95" s="189"/>
      <c r="N95" s="189"/>
      <c r="O95" s="189"/>
    </row>
    <row r="96" spans="1:23">
      <c r="C96" s="189"/>
      <c r="D96" s="189"/>
      <c r="E96" s="189"/>
      <c r="F96" s="189"/>
      <c r="G96" s="189"/>
      <c r="H96" s="189"/>
      <c r="I96" s="189"/>
      <c r="J96" s="189"/>
      <c r="K96" s="189"/>
      <c r="L96" s="189"/>
      <c r="M96" s="189"/>
      <c r="N96" s="189"/>
      <c r="O96" s="189"/>
    </row>
    <row r="97" spans="3:15">
      <c r="C97" s="189"/>
      <c r="D97" s="189"/>
      <c r="E97" s="189"/>
      <c r="F97" s="189"/>
      <c r="G97" s="189"/>
      <c r="H97" s="189"/>
      <c r="I97" s="189"/>
      <c r="J97" s="189"/>
      <c r="K97" s="189"/>
      <c r="L97" s="189"/>
      <c r="M97" s="189"/>
      <c r="N97" s="189"/>
      <c r="O97" s="189"/>
    </row>
    <row r="98" spans="3:15">
      <c r="C98" s="189"/>
      <c r="D98" s="189"/>
      <c r="E98" s="189"/>
      <c r="F98" s="189"/>
      <c r="G98" s="189"/>
      <c r="H98" s="189"/>
      <c r="I98" s="189"/>
      <c r="J98" s="189"/>
      <c r="K98" s="189"/>
      <c r="L98" s="189"/>
      <c r="M98" s="189"/>
      <c r="N98" s="189"/>
      <c r="O98" s="189"/>
    </row>
    <row r="99" spans="3:15">
      <c r="C99" s="189"/>
      <c r="D99" s="189"/>
      <c r="E99" s="189"/>
      <c r="F99" s="189"/>
      <c r="G99" s="189"/>
      <c r="H99" s="189"/>
      <c r="I99" s="189"/>
      <c r="J99" s="189"/>
      <c r="K99" s="189"/>
      <c r="L99" s="189"/>
      <c r="M99" s="189"/>
      <c r="N99" s="189"/>
      <c r="O99" s="189"/>
    </row>
  </sheetData>
  <sheetProtection algorithmName="SHA-512" hashValue="cfUFBR47T5Z7ppL2RBIJUkqINivQdN4pGpAIFA0KQhoSwZb/mNIByI9rWCMcd/gIhmN17CkgjBaabInzGDCkvg==" saltValue="MlgyEmietAvYtMK0bsutHw==" spinCount="100000" sheet="1" objects="1" scenarios="1"/>
  <mergeCells count="51">
    <mergeCell ref="B3:O3"/>
    <mergeCell ref="D7:G7"/>
    <mergeCell ref="K7:N7"/>
    <mergeCell ref="D8:E8"/>
    <mergeCell ref="F8:G8"/>
    <mergeCell ref="K8:M8"/>
    <mergeCell ref="D5:J6"/>
    <mergeCell ref="D9:E9"/>
    <mergeCell ref="F9:G9"/>
    <mergeCell ref="K9:M9"/>
    <mergeCell ref="D10:E10"/>
    <mergeCell ref="F10:G10"/>
    <mergeCell ref="K10:M10"/>
    <mergeCell ref="D11:E11"/>
    <mergeCell ref="F11:G11"/>
    <mergeCell ref="K11:M11"/>
    <mergeCell ref="D12:E12"/>
    <mergeCell ref="F12:G12"/>
    <mergeCell ref="K12:M12"/>
    <mergeCell ref="H22:H23"/>
    <mergeCell ref="C14:C15"/>
    <mergeCell ref="D14:D15"/>
    <mergeCell ref="E14:E15"/>
    <mergeCell ref="F14:F15"/>
    <mergeCell ref="G14:G15"/>
    <mergeCell ref="H14:H15"/>
    <mergeCell ref="C22:C23"/>
    <mergeCell ref="D22:D23"/>
    <mergeCell ref="E22:E23"/>
    <mergeCell ref="F22:F23"/>
    <mergeCell ref="G22:G23"/>
    <mergeCell ref="O29:O31"/>
    <mergeCell ref="K14:K15"/>
    <mergeCell ref="L14:L15"/>
    <mergeCell ref="N14:N15"/>
    <mergeCell ref="O14:O15"/>
    <mergeCell ref="K22:K23"/>
    <mergeCell ref="L22:L23"/>
    <mergeCell ref="N22:N23"/>
    <mergeCell ref="O22:O23"/>
    <mergeCell ref="O24:O28"/>
    <mergeCell ref="O64:O68"/>
    <mergeCell ref="O69:O73"/>
    <mergeCell ref="O74:O78"/>
    <mergeCell ref="O79:O83"/>
    <mergeCell ref="O32:O38"/>
    <mergeCell ref="O39:O43"/>
    <mergeCell ref="O44:O48"/>
    <mergeCell ref="O49:O53"/>
    <mergeCell ref="O54:O58"/>
    <mergeCell ref="O59:O63"/>
  </mergeCells>
  <phoneticPr fontId="3" type="noConversion"/>
  <conditionalFormatting sqref="B24:B83">
    <cfRule type="cellIs" dxfId="23" priority="1" operator="lessThan">
      <formula>6</formula>
    </cfRule>
    <cfRule type="cellIs" dxfId="22" priority="6" operator="lessThan">
      <formula>11</formula>
    </cfRule>
    <cfRule type="cellIs" dxfId="21" priority="7" operator="lessThan">
      <formula>21</formula>
    </cfRule>
  </conditionalFormatting>
  <conditionalFormatting sqref="C16:C20">
    <cfRule type="cellIs" dxfId="20" priority="3" operator="lessThan">
      <formula>6</formula>
    </cfRule>
    <cfRule type="cellIs" dxfId="19" priority="4" operator="lessThan">
      <formula>11</formula>
    </cfRule>
    <cfRule type="cellIs" dxfId="18" priority="5" operator="lessThan">
      <formula>21</formula>
    </cfRule>
  </conditionalFormatting>
  <conditionalFormatting sqref="D24:N83">
    <cfRule type="expression" dxfId="17" priority="2">
      <formula>MOD(ROW(),2)=0</formula>
    </cfRule>
  </conditionalFormatting>
  <conditionalFormatting sqref="D24:D83">
    <cfRule type="expression" dxfId="16" priority="8">
      <formula>$C24="O"</formula>
    </cfRule>
  </conditionalFormatting>
  <dataValidations count="3">
    <dataValidation type="list" allowBlank="1" showInputMessage="1" showErrorMessage="1" prompt="LTE 맞춤형요금제에 한해서 부가서비스로의 문자개수를 선택 하십시요. (무료문자 50건)_x000a__x000a_문자개수100, 200, 500,700,1000 개에 대해서 각각 1500, 3000, 6000, 8000,10000 원의 부가요금이 청구됩니다." sqref="F12:G12">
      <formula1>"0,100,200,500,700,1000"</formula1>
    </dataValidation>
    <dataValidation type="list" allowBlank="1" showInputMessage="1" showErrorMessage="1" sqref="N8">
      <formula1>"해당사항없음,10,20,30,50"</formula1>
    </dataValidation>
    <dataValidation type="list" allowBlank="1" showInputMessage="1" showErrorMessage="1" sqref="N10:N12 C24:C83">
      <formula1>"O,X"</formula1>
    </dataValidation>
  </dataValidations>
  <pageMargins left="0.7" right="0.7" top="0.75" bottom="0.75" header="0.3" footer="0.3"/>
  <pageSetup paperSize="9" orientation="portrait" horizontalDpi="4294967292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A1:Y106"/>
  <sheetViews>
    <sheetView zoomScaleNormal="100" workbookViewId="0">
      <selection activeCell="D9" sqref="D9:E9"/>
    </sheetView>
  </sheetViews>
  <sheetFormatPr defaultRowHeight="16.5"/>
  <cols>
    <col min="1" max="1" width="2.5" style="147" customWidth="1"/>
    <col min="2" max="2" width="4.5" style="147" customWidth="1"/>
    <col min="3" max="3" width="5.25" style="42" customWidth="1"/>
    <col min="4" max="4" width="22.75" style="42" customWidth="1"/>
    <col min="5" max="5" width="8.25" style="42" customWidth="1"/>
    <col min="6" max="6" width="11.5" style="42" customWidth="1"/>
    <col min="7" max="7" width="7.125" style="42" customWidth="1"/>
    <col min="8" max="8" width="9" style="42" customWidth="1"/>
    <col min="9" max="9" width="8.375" style="42" customWidth="1"/>
    <col min="10" max="10" width="8.75" style="42" customWidth="1"/>
    <col min="11" max="11" width="11.125" style="42" customWidth="1"/>
    <col min="12" max="12" width="10" style="42" customWidth="1"/>
    <col min="13" max="13" width="12.75" style="42" customWidth="1"/>
    <col min="14" max="14" width="15.25" style="42" customWidth="1"/>
    <col min="15" max="15" width="11.25" style="42" customWidth="1"/>
    <col min="16" max="16" width="5.5" style="108" customWidth="1"/>
    <col min="17" max="17" width="4.25" style="107" customWidth="1"/>
    <col min="18" max="18" width="4" style="107" customWidth="1"/>
    <col min="19" max="19" width="5.375" style="107" customWidth="1"/>
    <col min="20" max="20" width="8.375" style="107" customWidth="1"/>
    <col min="21" max="21" width="4.875" style="107" customWidth="1"/>
    <col min="22" max="22" width="6.75" style="600" customWidth="1"/>
    <col min="23" max="23" width="7.5" style="601" customWidth="1"/>
    <col min="24" max="24" width="9" style="413"/>
    <col min="25" max="25" width="9" style="73"/>
    <col min="26" max="16384" width="9" style="42"/>
  </cols>
  <sheetData>
    <row r="1" spans="2:21" ht="6" customHeight="1"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2:21" ht="2.25" customHeight="1" thickBot="1"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2:21" ht="30.75" customHeight="1" thickBot="1">
      <c r="B3" s="683" t="s">
        <v>249</v>
      </c>
      <c r="C3" s="684"/>
      <c r="D3" s="684"/>
      <c r="E3" s="684"/>
      <c r="F3" s="684"/>
      <c r="G3" s="684"/>
      <c r="H3" s="684"/>
      <c r="I3" s="684"/>
      <c r="J3" s="684"/>
      <c r="K3" s="684"/>
      <c r="L3" s="684"/>
      <c r="M3" s="684"/>
      <c r="N3" s="684"/>
      <c r="O3" s="685"/>
    </row>
    <row r="4" spans="2:21" ht="17.100000000000001" customHeight="1">
      <c r="C4" s="113"/>
      <c r="D4" s="114" t="s">
        <v>20</v>
      </c>
      <c r="E4" s="41"/>
      <c r="F4" s="41"/>
      <c r="G4" s="41"/>
      <c r="H4" s="41"/>
      <c r="I4" s="48"/>
      <c r="J4" s="41"/>
      <c r="K4" s="48"/>
      <c r="L4" s="48"/>
      <c r="M4" s="68"/>
      <c r="N4" s="69"/>
      <c r="O4" s="69"/>
      <c r="Q4" s="602"/>
    </row>
    <row r="5" spans="2:21" ht="17.100000000000001" customHeight="1">
      <c r="C5" s="113"/>
      <c r="D5" s="852" t="s">
        <v>285</v>
      </c>
      <c r="E5" s="852"/>
      <c r="F5" s="852"/>
      <c r="G5" s="852"/>
      <c r="H5" s="852"/>
      <c r="I5" s="852"/>
      <c r="J5" s="852"/>
      <c r="K5" s="116"/>
      <c r="L5" s="48"/>
      <c r="M5" s="70"/>
      <c r="N5" s="69"/>
      <c r="O5" s="69"/>
      <c r="P5" s="603" t="str">
        <f>IF(F12=100,1500,"")</f>
        <v/>
      </c>
      <c r="Q5" s="602"/>
    </row>
    <row r="6" spans="2:21" ht="24" customHeight="1" thickBot="1">
      <c r="C6" s="113"/>
      <c r="D6" s="852"/>
      <c r="E6" s="852"/>
      <c r="F6" s="852"/>
      <c r="G6" s="852"/>
      <c r="H6" s="852"/>
      <c r="I6" s="852"/>
      <c r="J6" s="852"/>
      <c r="K6" s="48"/>
      <c r="L6" s="48"/>
      <c r="M6" s="68"/>
      <c r="N6" s="69"/>
      <c r="O6" s="69"/>
      <c r="P6" s="603" t="str">
        <f>IF(F12=200,3000,"")</f>
        <v/>
      </c>
      <c r="Q6" s="602"/>
    </row>
    <row r="7" spans="2:21" ht="24" customHeight="1" thickBot="1">
      <c r="C7" s="113"/>
      <c r="D7" s="697" t="s">
        <v>25</v>
      </c>
      <c r="E7" s="698"/>
      <c r="F7" s="698"/>
      <c r="G7" s="699"/>
      <c r="H7" s="41"/>
      <c r="I7" s="48"/>
      <c r="J7" s="41"/>
      <c r="K7" s="700" t="s">
        <v>26</v>
      </c>
      <c r="L7" s="701"/>
      <c r="M7" s="701"/>
      <c r="N7" s="702"/>
      <c r="O7" s="69"/>
      <c r="P7" s="603" t="str">
        <f>IF(F12=500,6000,"")</f>
        <v/>
      </c>
      <c r="Q7" s="602"/>
    </row>
    <row r="8" spans="2:21" ht="18" customHeight="1">
      <c r="C8" s="41"/>
      <c r="D8" s="689" t="s">
        <v>0</v>
      </c>
      <c r="E8" s="690"/>
      <c r="F8" s="850">
        <f>'3사 추천요금제'!D5</f>
        <v>311</v>
      </c>
      <c r="G8" s="851"/>
      <c r="H8" s="90" t="str">
        <f>IF(OR(F8="",F9=""),"","망내 "&amp;ROUND(F8*F9/100,0)&amp;"분")</f>
        <v>망내 93분</v>
      </c>
      <c r="I8" s="146">
        <f>IF(OR(F8="",F9=""),"",F8*F9/100)</f>
        <v>93.3</v>
      </c>
      <c r="J8" s="41"/>
      <c r="K8" s="629" t="s">
        <v>74</v>
      </c>
      <c r="L8" s="630"/>
      <c r="M8" s="630"/>
      <c r="N8" s="597" t="str">
        <f>'3사 추천요금제'!K12</f>
        <v>X</v>
      </c>
      <c r="O8" s="705" t="s">
        <v>218</v>
      </c>
      <c r="P8" s="603" t="str">
        <f>IF(F12=700,8000,"")</f>
        <v/>
      </c>
      <c r="Q8" s="602"/>
    </row>
    <row r="9" spans="2:21" ht="18" customHeight="1">
      <c r="C9" s="41"/>
      <c r="D9" s="691" t="s">
        <v>63</v>
      </c>
      <c r="E9" s="692"/>
      <c r="F9" s="846">
        <f>'3사 추천요금제'!D12</f>
        <v>30</v>
      </c>
      <c r="G9" s="847"/>
      <c r="H9" s="90" t="str">
        <f>IF(OR(F8="",F9=""),"","망외 "&amp;ROUND(F8*(1-F9/100),0)&amp;"분")</f>
        <v>망외 218분</v>
      </c>
      <c r="I9" s="146">
        <f>IF(OR(F8="",F9=""),"",F8*(100-F9)/100)</f>
        <v>217.7</v>
      </c>
      <c r="J9" s="41"/>
      <c r="K9" s="635" t="s">
        <v>48</v>
      </c>
      <c r="L9" s="636"/>
      <c r="M9" s="636"/>
      <c r="N9" s="67" t="str">
        <f>'3사 추천요금제'!K5</f>
        <v>O</v>
      </c>
      <c r="O9" s="706"/>
      <c r="P9" s="603" t="str">
        <f>IF(F12=1000,10000,"")</f>
        <v/>
      </c>
      <c r="Q9" s="602"/>
    </row>
    <row r="10" spans="2:21" ht="18" customHeight="1" thickBot="1">
      <c r="C10" s="41"/>
      <c r="D10" s="693" t="s">
        <v>1</v>
      </c>
      <c r="E10" s="694"/>
      <c r="F10" s="846">
        <f>'3사 추천요금제'!D6</f>
        <v>201</v>
      </c>
      <c r="G10" s="847"/>
      <c r="H10" s="41"/>
      <c r="I10" s="41"/>
      <c r="J10" s="41"/>
      <c r="K10" s="711" t="s">
        <v>17</v>
      </c>
      <c r="L10" s="712"/>
      <c r="M10" s="712"/>
      <c r="N10" s="598" t="str">
        <f>'3사 추천요금제'!K6</f>
        <v>X</v>
      </c>
      <c r="O10" s="73"/>
      <c r="P10" s="603">
        <f>SUM(P5:P9)</f>
        <v>0</v>
      </c>
      <c r="Q10" s="107">
        <f>IF(F12="50(기본제공)",0,F12)</f>
        <v>0</v>
      </c>
    </row>
    <row r="11" spans="2:21" ht="18" customHeight="1">
      <c r="C11" s="41"/>
      <c r="D11" s="693" t="s">
        <v>2</v>
      </c>
      <c r="E11" s="694"/>
      <c r="F11" s="846">
        <f>'3사 추천요금제'!D7</f>
        <v>2000</v>
      </c>
      <c r="G11" s="847"/>
      <c r="H11" s="41"/>
      <c r="I11" s="41"/>
      <c r="J11" s="41"/>
      <c r="K11" s="643" t="str">
        <f>"데이터이용량 "&amp;F11&amp;"MB 이상만 나열하기"</f>
        <v>데이터이용량 2000MB 이상만 나열하기</v>
      </c>
      <c r="L11" s="644"/>
      <c r="M11" s="644"/>
      <c r="N11" s="599" t="str">
        <f>'3사 추천요금제'!K7</f>
        <v>X</v>
      </c>
      <c r="O11" s="72"/>
    </row>
    <row r="12" spans="2:21" ht="18" customHeight="1" thickBot="1">
      <c r="C12" s="41"/>
      <c r="D12" s="645"/>
      <c r="E12" s="646"/>
      <c r="F12" s="695"/>
      <c r="G12" s="696"/>
      <c r="H12" s="41"/>
      <c r="I12" s="613"/>
      <c r="J12" s="41"/>
      <c r="K12" s="649" t="s">
        <v>242</v>
      </c>
      <c r="L12" s="650"/>
      <c r="M12" s="650"/>
      <c r="N12" s="598" t="str">
        <f>'3사 추천요금제'!K8</f>
        <v>X</v>
      </c>
      <c r="O12" s="68"/>
      <c r="P12" s="108">
        <f>IF(N12="O",1,0)</f>
        <v>0</v>
      </c>
    </row>
    <row r="13" spans="2:21" ht="17.25" customHeight="1" thickBot="1">
      <c r="C13" s="41"/>
      <c r="D13" s="40" t="s">
        <v>22</v>
      </c>
      <c r="E13" s="41"/>
      <c r="F13" s="41"/>
      <c r="G13" s="118"/>
      <c r="I13" s="41"/>
      <c r="J13" s="41"/>
      <c r="K13" s="41"/>
      <c r="L13" s="41"/>
      <c r="M13" s="68"/>
      <c r="N13" s="68"/>
      <c r="O13" s="68"/>
      <c r="P13" s="108">
        <f>IF(N11="O",2,0)</f>
        <v>0</v>
      </c>
      <c r="Q13" s="107">
        <f>P12+P13</f>
        <v>0</v>
      </c>
    </row>
    <row r="14" spans="2:21" ht="16.5" customHeight="1">
      <c r="C14" s="715" t="s">
        <v>19</v>
      </c>
      <c r="D14" s="717" t="s">
        <v>3</v>
      </c>
      <c r="E14" s="719" t="s">
        <v>4</v>
      </c>
      <c r="F14" s="719" t="s">
        <v>21</v>
      </c>
      <c r="G14" s="719" t="s">
        <v>5</v>
      </c>
      <c r="H14" s="719" t="s">
        <v>6</v>
      </c>
      <c r="I14" s="465" t="s">
        <v>7</v>
      </c>
      <c r="J14" s="135" t="s">
        <v>8</v>
      </c>
      <c r="K14" s="707" t="s">
        <v>13</v>
      </c>
      <c r="L14" s="709" t="s">
        <v>246</v>
      </c>
      <c r="M14" s="520" t="str">
        <f>M22</f>
        <v>실제요금</v>
      </c>
      <c r="N14" s="703" t="s">
        <v>9</v>
      </c>
      <c r="O14" s="713" t="s">
        <v>10</v>
      </c>
      <c r="P14" s="604"/>
      <c r="Q14" s="47"/>
      <c r="R14" s="47"/>
      <c r="S14" s="47"/>
      <c r="T14" s="47"/>
      <c r="U14" s="47"/>
    </row>
    <row r="15" spans="2:21" ht="17.25" thickBot="1">
      <c r="C15" s="716"/>
      <c r="D15" s="718"/>
      <c r="E15" s="720"/>
      <c r="F15" s="720"/>
      <c r="G15" s="721"/>
      <c r="H15" s="720"/>
      <c r="I15" s="136" t="str">
        <f>I23</f>
        <v>(24개월)</v>
      </c>
      <c r="J15" s="137" t="s">
        <v>11</v>
      </c>
      <c r="K15" s="708"/>
      <c r="L15" s="710"/>
      <c r="M15" s="507" t="str">
        <f>M23</f>
        <v>(부가세포함)</v>
      </c>
      <c r="N15" s="704"/>
      <c r="O15" s="714"/>
      <c r="P15" s="604"/>
      <c r="Q15" s="47"/>
      <c r="R15" s="47"/>
      <c r="S15" s="47"/>
      <c r="T15" s="47"/>
      <c r="U15" s="47"/>
    </row>
    <row r="16" spans="2:21">
      <c r="C16" s="44">
        <f>IF(COUNT($U$24:$U$88)&gt;=1,VLOOKUP(SMALL($U$24:$U$88,1),$U$24:$U$88,1,FALSE),"")</f>
        <v>1</v>
      </c>
      <c r="D16" s="415" t="str">
        <f>IF($C$16="","",VLOOKUP($C$16,$B$24:$N$88,COLUMN()-1,FALSE))</f>
        <v>LTE선택형 통화300분 문자300건</v>
      </c>
      <c r="E16" s="9">
        <f t="shared" ref="E16:N16" si="0">IF($C$16="","",VLOOKUP($C$16,$B$24:$N$88,COLUMN()-1,FALSE))</f>
        <v>45000</v>
      </c>
      <c r="F16" s="141">
        <f t="shared" si="0"/>
        <v>300</v>
      </c>
      <c r="G16" s="34">
        <f t="shared" si="0"/>
        <v>300</v>
      </c>
      <c r="H16" s="9">
        <f t="shared" si="0"/>
        <v>250</v>
      </c>
      <c r="I16" s="9">
        <f t="shared" si="0"/>
        <v>11000</v>
      </c>
      <c r="J16" s="17">
        <f t="shared" si="0"/>
        <v>37400</v>
      </c>
      <c r="K16" s="74">
        <f t="shared" si="0"/>
        <v>1188</v>
      </c>
      <c r="L16" s="75">
        <f t="shared" si="0"/>
        <v>0</v>
      </c>
      <c r="M16" s="10">
        <f t="shared" si="0"/>
        <v>38706.800000000003</v>
      </c>
      <c r="N16" s="11" t="str">
        <f t="shared" si="0"/>
        <v>데이터(1.75GB) 부족</v>
      </c>
      <c r="O16" s="119"/>
      <c r="P16" s="604"/>
      <c r="Q16" s="47"/>
      <c r="R16" s="47"/>
      <c r="S16" s="47"/>
      <c r="T16" s="47"/>
      <c r="U16" s="47"/>
    </row>
    <row r="17" spans="1:23">
      <c r="C17" s="45">
        <f>IF(COUNT($U$24:$U$88)&gt;=2,VLOOKUP(SMALL($U$24:$U$88,2),$U$24:$U$88,1,FALSE),"")</f>
        <v>2</v>
      </c>
      <c r="D17" s="416" t="str">
        <f>IF($C$17="","",VLOOKUP($C$17,$B$24:$N$88,COLUMN()-1,FALSE))</f>
        <v>모두다올레 35</v>
      </c>
      <c r="E17" s="61">
        <f t="shared" ref="E17:N17" si="1">IF($C$17="","",VLOOKUP($C$17,$B$24:$N$88,COLUMN()-1,FALSE))</f>
        <v>35000</v>
      </c>
      <c r="F17" s="142">
        <f t="shared" si="1"/>
        <v>130</v>
      </c>
      <c r="G17" s="62" t="str">
        <f t="shared" si="1"/>
        <v>무제한</v>
      </c>
      <c r="H17" s="61">
        <f t="shared" si="1"/>
        <v>750</v>
      </c>
      <c r="I17" s="61">
        <f t="shared" si="1"/>
        <v>7000</v>
      </c>
      <c r="J17" s="63">
        <f t="shared" si="1"/>
        <v>30800.000000000004</v>
      </c>
      <c r="K17" s="76">
        <f t="shared" si="1"/>
        <v>9471.5999999999985</v>
      </c>
      <c r="L17" s="77">
        <f t="shared" si="1"/>
        <v>0</v>
      </c>
      <c r="M17" s="64">
        <f t="shared" si="1"/>
        <v>41218.76</v>
      </c>
      <c r="N17" s="65" t="str">
        <f t="shared" si="1"/>
        <v>데이터(1.25GB) 부족</v>
      </c>
      <c r="O17" s="66">
        <f>IF(OR(M16="",M17=""),"",M17-M16)</f>
        <v>2511.9599999999991</v>
      </c>
      <c r="P17" s="604"/>
      <c r="Q17" s="47"/>
      <c r="R17" s="47"/>
      <c r="S17" s="47"/>
      <c r="T17" s="47"/>
      <c r="U17" s="47"/>
    </row>
    <row r="18" spans="1:23">
      <c r="C18" s="45">
        <f>IF(COUNT($U$24:$U$88)&gt;=3,VLOOKUP(SMALL($U$24:$U$88,3),$U$24:$U$88,1,FALSE),"")</f>
        <v>3</v>
      </c>
      <c r="D18" s="417" t="str">
        <f>IF($C$18="","",VLOOKUP($C$18,$B$24:$N$88,COLUMN()-1,FALSE))</f>
        <v>모두다올레 45</v>
      </c>
      <c r="E18" s="1">
        <f t="shared" ref="E18:N18" si="2">IF($C$18="","",VLOOKUP($C$18,$B$24:$N$88,COLUMN()-1,FALSE))</f>
        <v>45000</v>
      </c>
      <c r="F18" s="143">
        <f t="shared" si="2"/>
        <v>185</v>
      </c>
      <c r="G18" s="35" t="str">
        <f t="shared" si="2"/>
        <v>무제한</v>
      </c>
      <c r="H18" s="1">
        <f t="shared" si="2"/>
        <v>1500</v>
      </c>
      <c r="I18" s="1">
        <f t="shared" si="2"/>
        <v>11000</v>
      </c>
      <c r="J18" s="18">
        <f t="shared" si="2"/>
        <v>37400</v>
      </c>
      <c r="K18" s="78">
        <f t="shared" si="2"/>
        <v>3531.599999999999</v>
      </c>
      <c r="L18" s="79">
        <f t="shared" si="2"/>
        <v>0</v>
      </c>
      <c r="M18" s="12">
        <f t="shared" si="2"/>
        <v>41284.76</v>
      </c>
      <c r="N18" s="13" t="str">
        <f t="shared" si="2"/>
        <v>데이터(0.5GB) 부족</v>
      </c>
      <c r="O18" s="2">
        <f t="shared" ref="O18:O20" si="3">IF(OR(M17="",M18=""),"",M18-M17)</f>
        <v>66</v>
      </c>
      <c r="P18" s="604"/>
      <c r="Q18" s="47"/>
      <c r="R18" s="47"/>
      <c r="S18" s="47"/>
      <c r="T18" s="47"/>
      <c r="U18" s="47"/>
    </row>
    <row r="19" spans="1:23">
      <c r="C19" s="45">
        <f>IF(COUNT($U$24:$U$88)&gt;=4,VLOOKUP(SMALL($U$24:$U$88,4),$U$24:$U$88,1,FALSE),"")</f>
        <v>4</v>
      </c>
      <c r="D19" s="416" t="str">
        <f>IF($C$19="","",VLOOKUP($C$19,$B$24:$N$88,COLUMN()-1,FALSE))</f>
        <v>LTE선택형 통화300분 문자300건</v>
      </c>
      <c r="E19" s="61">
        <f t="shared" ref="E19:N19" si="4">IF($C$19="","",VLOOKUP($C$19,$B$24:$N$88,COLUMN()-1,FALSE))</f>
        <v>49000</v>
      </c>
      <c r="F19" s="142">
        <f t="shared" si="4"/>
        <v>300</v>
      </c>
      <c r="G19" s="62">
        <f t="shared" si="4"/>
        <v>300</v>
      </c>
      <c r="H19" s="61">
        <f t="shared" si="4"/>
        <v>1000</v>
      </c>
      <c r="I19" s="61">
        <f t="shared" si="4"/>
        <v>11000</v>
      </c>
      <c r="J19" s="63">
        <f t="shared" si="4"/>
        <v>41800</v>
      </c>
      <c r="K19" s="76">
        <f t="shared" si="4"/>
        <v>1188</v>
      </c>
      <c r="L19" s="77">
        <f t="shared" si="4"/>
        <v>0</v>
      </c>
      <c r="M19" s="64">
        <f t="shared" si="4"/>
        <v>43106.8</v>
      </c>
      <c r="N19" s="65" t="str">
        <f t="shared" si="4"/>
        <v>데이터(1GB) 부족</v>
      </c>
      <c r="O19" s="66">
        <f t="shared" si="3"/>
        <v>1822.0400000000009</v>
      </c>
      <c r="P19" s="604"/>
      <c r="Q19" s="47"/>
      <c r="R19" s="47"/>
      <c r="S19" s="47"/>
      <c r="T19" s="47"/>
      <c r="U19" s="47"/>
    </row>
    <row r="20" spans="1:23" ht="17.25" thickBot="1">
      <c r="C20" s="46">
        <f>IF(COUNT($U$24:$U$88)&gt;=5,VLOOKUP(SMALL($U$24:$U$88,5),$U$24:$U$88,1,FALSE),"")</f>
        <v>5</v>
      </c>
      <c r="D20" s="418" t="str">
        <f>IF($C$20="","",VLOOKUP($C$20,$B$24:$N$88,COLUMN()-1,FALSE))</f>
        <v>LTE선택형 통화400분 문자400건</v>
      </c>
      <c r="E20" s="3">
        <f t="shared" ref="E20:N20" si="5">IF($C$20="","",VLOOKUP($C$20,$B$24:$N$88,COLUMN()-1,FALSE))</f>
        <v>54500</v>
      </c>
      <c r="F20" s="144">
        <f t="shared" si="5"/>
        <v>400</v>
      </c>
      <c r="G20" s="36">
        <f t="shared" si="5"/>
        <v>400</v>
      </c>
      <c r="H20" s="3">
        <f t="shared" si="5"/>
        <v>250</v>
      </c>
      <c r="I20" s="3">
        <f t="shared" si="5"/>
        <v>14000</v>
      </c>
      <c r="J20" s="19">
        <f t="shared" si="5"/>
        <v>44550</v>
      </c>
      <c r="K20" s="80">
        <f t="shared" si="5"/>
        <v>0</v>
      </c>
      <c r="L20" s="81">
        <f t="shared" si="5"/>
        <v>0</v>
      </c>
      <c r="M20" s="14">
        <f t="shared" si="5"/>
        <v>44550</v>
      </c>
      <c r="N20" s="15" t="str">
        <f t="shared" si="5"/>
        <v>데이터(1.75GB) 부족</v>
      </c>
      <c r="O20" s="4">
        <f t="shared" si="3"/>
        <v>1443.1999999999971</v>
      </c>
      <c r="P20" s="604"/>
      <c r="Q20" s="47"/>
      <c r="R20" s="47"/>
      <c r="S20" s="47"/>
      <c r="T20" s="47"/>
      <c r="U20" s="47"/>
    </row>
    <row r="21" spans="1:23" ht="23.1" customHeight="1" thickBot="1">
      <c r="C21" s="41"/>
      <c r="D21" s="444" t="str">
        <f>"총 "&amp;COUNTA(D24:D88)&amp;"요금제 중 검색 제외된 요금제는 "&amp;COUNTIF(C24:C88,"O")&amp;"개입니다.  (신규가입 불가능한 요금제는 왼쪽 2번째열에서 O를 선택해주세요)"</f>
        <v>총 65요금제 중 검색 제외된 요금제는 6개입니다.  (신규가입 불가능한 요금제는 왼쪽 2번째열에서 O를 선택해주세요)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604"/>
      <c r="Q21" s="47"/>
      <c r="R21" s="47"/>
      <c r="S21" s="47"/>
      <c r="T21" s="47"/>
      <c r="U21" s="47"/>
    </row>
    <row r="22" spans="1:23" ht="16.5" customHeight="1">
      <c r="B22" s="688" t="s">
        <v>12</v>
      </c>
      <c r="C22" s="686" t="s">
        <v>245</v>
      </c>
      <c r="D22" s="717" t="s">
        <v>3</v>
      </c>
      <c r="E22" s="719" t="s">
        <v>4</v>
      </c>
      <c r="F22" s="719" t="s">
        <v>21</v>
      </c>
      <c r="G22" s="719" t="s">
        <v>5</v>
      </c>
      <c r="H22" s="719" t="s">
        <v>6</v>
      </c>
      <c r="I22" s="465" t="s">
        <v>7</v>
      </c>
      <c r="J22" s="138" t="s">
        <v>8</v>
      </c>
      <c r="K22" s="707" t="s">
        <v>248</v>
      </c>
      <c r="L22" s="709" t="s">
        <v>247</v>
      </c>
      <c r="M22" s="520" t="s">
        <v>244</v>
      </c>
      <c r="N22" s="703" t="s">
        <v>9</v>
      </c>
      <c r="O22" s="734"/>
      <c r="P22" s="604" t="s">
        <v>67</v>
      </c>
      <c r="Q22" s="47"/>
      <c r="R22" s="47"/>
      <c r="S22" s="47"/>
      <c r="T22" s="47"/>
      <c r="U22" s="47"/>
    </row>
    <row r="23" spans="1:23" ht="17.25" customHeight="1" thickBot="1">
      <c r="B23" s="688"/>
      <c r="C23" s="687"/>
      <c r="D23" s="726"/>
      <c r="E23" s="722"/>
      <c r="F23" s="722"/>
      <c r="G23" s="727"/>
      <c r="H23" s="722"/>
      <c r="I23" s="139" t="str">
        <f>IF(N8="O","약정+뭉올","(24개월)")</f>
        <v>(24개월)</v>
      </c>
      <c r="J23" s="140" t="s">
        <v>11</v>
      </c>
      <c r="K23" s="736"/>
      <c r="L23" s="737"/>
      <c r="M23" s="508" t="str">
        <f>"(부가세"&amp;IF($N$10="O",",복지포함)","포함)")</f>
        <v>(부가세포함)</v>
      </c>
      <c r="N23" s="738"/>
      <c r="O23" s="735"/>
      <c r="P23" s="149"/>
      <c r="Q23" s="150" t="s">
        <v>68</v>
      </c>
      <c r="R23" s="150" t="s">
        <v>69</v>
      </c>
      <c r="S23" s="150" t="s">
        <v>9</v>
      </c>
      <c r="T23" s="150" t="s">
        <v>70</v>
      </c>
      <c r="U23" s="605" t="s">
        <v>66</v>
      </c>
      <c r="V23" s="600" t="s">
        <v>71</v>
      </c>
      <c r="W23" s="601" t="s">
        <v>244</v>
      </c>
    </row>
    <row r="24" spans="1:23" ht="17.100000000000001" customHeight="1">
      <c r="A24" s="109">
        <v>7000</v>
      </c>
      <c r="B24" s="504">
        <f>IF(C24="O","",RANK(W24,W$24:W$88,1)+COUNTIF($W$24:W24,W24)-1)</f>
        <v>2</v>
      </c>
      <c r="C24" s="445" t="s">
        <v>16</v>
      </c>
      <c r="D24" s="275" t="s">
        <v>27</v>
      </c>
      <c r="E24" s="276">
        <v>35000</v>
      </c>
      <c r="F24" s="277">
        <v>130</v>
      </c>
      <c r="G24" s="278" t="s">
        <v>18</v>
      </c>
      <c r="H24" s="276">
        <v>750</v>
      </c>
      <c r="I24" s="279">
        <f t="shared" ref="I24:I87" si="6">IF($N$8="X",A24,A24+V24)</f>
        <v>7000</v>
      </c>
      <c r="J24" s="280">
        <f t="shared" ref="J24:J87" si="7">IF($N$10="X",(E24-I24)*1.1,(E24-I24)*1.1*0.65)</f>
        <v>30800.000000000004</v>
      </c>
      <c r="K24" s="281">
        <f>IF(F$8*(100-F$9)/100&lt;F24,0,((F$8*(100-F$9)/100)-F24)*60*1.8)*IF($N$10="O",0.65,1)</f>
        <v>9471.5999999999985</v>
      </c>
      <c r="L24" s="282">
        <v>0</v>
      </c>
      <c r="M24" s="283">
        <f>J24+(K24+L24)*1.1</f>
        <v>41218.76</v>
      </c>
      <c r="N24" s="284" t="str">
        <f t="shared" ref="N24:N87" si="8">IF(H24="무제한","",IF(($F$11-H24)&gt;0,"데이터("&amp;P24/1000&amp;"GB) 부족",""))</f>
        <v>데이터(1.25GB) 부족</v>
      </c>
      <c r="O24" s="670" t="s">
        <v>64</v>
      </c>
      <c r="P24" s="151">
        <f t="shared" ref="P24:P34" si="9">$F$11-H24</f>
        <v>1250</v>
      </c>
      <c r="Q24" s="152">
        <f t="shared" ref="Q24:Q87" si="10">B24</f>
        <v>2</v>
      </c>
      <c r="R24" s="47">
        <f t="shared" ref="R24:R53" si="11">B24</f>
        <v>2</v>
      </c>
      <c r="S24" s="47" t="str">
        <f t="shared" ref="S24:S87" si="12">IF($F$11&lt;=H24,B24,"")</f>
        <v/>
      </c>
      <c r="T24" s="47" t="str">
        <f>S24</f>
        <v/>
      </c>
      <c r="U24" s="47">
        <f>VLOOKUP(B24,$B$24:$T$88,$Q$13+16,FALSE)</f>
        <v>2</v>
      </c>
      <c r="V24" s="153">
        <v>1500</v>
      </c>
      <c r="W24" s="464">
        <f t="shared" ref="W24:W87" si="13">IF(C24="O","",M24)</f>
        <v>41218.76</v>
      </c>
    </row>
    <row r="25" spans="1:23" ht="17.100000000000001" customHeight="1">
      <c r="A25" s="109">
        <v>11000</v>
      </c>
      <c r="B25" s="504">
        <f>IF(C25="O","",RANK(W25,W$24:W$88,1)+COUNTIF($W$24:W25,W25)-1)</f>
        <v>3</v>
      </c>
      <c r="C25" s="455"/>
      <c r="D25" s="285" t="s">
        <v>28</v>
      </c>
      <c r="E25" s="286">
        <v>45000</v>
      </c>
      <c r="F25" s="287">
        <v>185</v>
      </c>
      <c r="G25" s="288" t="s">
        <v>18</v>
      </c>
      <c r="H25" s="286">
        <v>1500</v>
      </c>
      <c r="I25" s="289">
        <f t="shared" si="6"/>
        <v>11000</v>
      </c>
      <c r="J25" s="290">
        <f t="shared" si="7"/>
        <v>37400</v>
      </c>
      <c r="K25" s="291">
        <f t="shared" ref="K25:K31" si="14">IF(F$8*(100-F$9)/100&lt;F25,0,((F$8*(100-F$9)/100)-F25)*60*1.8)*IF($N$10="O",0.65,1)</f>
        <v>3531.599999999999</v>
      </c>
      <c r="L25" s="292">
        <v>0</v>
      </c>
      <c r="M25" s="293">
        <f t="shared" ref="M25:M88" si="15">J25+(K25+L25)*1.1</f>
        <v>41284.76</v>
      </c>
      <c r="N25" s="294" t="str">
        <f t="shared" si="8"/>
        <v>데이터(0.5GB) 부족</v>
      </c>
      <c r="O25" s="733"/>
      <c r="P25" s="151">
        <f t="shared" si="9"/>
        <v>500</v>
      </c>
      <c r="Q25" s="152">
        <f t="shared" si="10"/>
        <v>3</v>
      </c>
      <c r="R25" s="47">
        <f t="shared" si="11"/>
        <v>3</v>
      </c>
      <c r="S25" s="47" t="str">
        <f t="shared" si="12"/>
        <v/>
      </c>
      <c r="T25" s="47" t="str">
        <f t="shared" ref="T25:T88" si="16">S25</f>
        <v/>
      </c>
      <c r="U25" s="47">
        <f t="shared" ref="U25:U88" si="17">VLOOKUP(B25,$B$24:$T$88,$Q$13+16,FALSE)</f>
        <v>3</v>
      </c>
      <c r="V25" s="153">
        <v>2500</v>
      </c>
      <c r="W25" s="464">
        <f t="shared" si="13"/>
        <v>41284.76</v>
      </c>
    </row>
    <row r="26" spans="1:23" ht="17.100000000000001" customHeight="1">
      <c r="A26" s="109">
        <v>14000</v>
      </c>
      <c r="B26" s="504">
        <f>IF(C26="O","",RANK(W26,W$24:W$88,1)+COUNTIF($W$24:W26,W26)-1)</f>
        <v>6</v>
      </c>
      <c r="C26" s="446"/>
      <c r="D26" s="285" t="s">
        <v>29</v>
      </c>
      <c r="E26" s="286">
        <v>55000</v>
      </c>
      <c r="F26" s="287">
        <v>250</v>
      </c>
      <c r="G26" s="288" t="s">
        <v>18</v>
      </c>
      <c r="H26" s="286">
        <v>2500</v>
      </c>
      <c r="I26" s="289">
        <f t="shared" si="6"/>
        <v>14000</v>
      </c>
      <c r="J26" s="290">
        <f t="shared" si="7"/>
        <v>45100.000000000007</v>
      </c>
      <c r="K26" s="291">
        <f t="shared" si="14"/>
        <v>0</v>
      </c>
      <c r="L26" s="292">
        <v>0</v>
      </c>
      <c r="M26" s="293">
        <f t="shared" si="15"/>
        <v>45100.000000000007</v>
      </c>
      <c r="N26" s="294" t="str">
        <f t="shared" si="8"/>
        <v/>
      </c>
      <c r="O26" s="733"/>
      <c r="P26" s="151">
        <f t="shared" si="9"/>
        <v>-500</v>
      </c>
      <c r="Q26" s="152">
        <f t="shared" si="10"/>
        <v>6</v>
      </c>
      <c r="R26" s="47">
        <f t="shared" si="11"/>
        <v>6</v>
      </c>
      <c r="S26" s="47">
        <f t="shared" si="12"/>
        <v>6</v>
      </c>
      <c r="T26" s="47">
        <f t="shared" si="16"/>
        <v>6</v>
      </c>
      <c r="U26" s="47">
        <f t="shared" si="17"/>
        <v>6</v>
      </c>
      <c r="V26" s="153">
        <v>4000</v>
      </c>
      <c r="W26" s="464">
        <f t="shared" si="13"/>
        <v>45100.000000000007</v>
      </c>
    </row>
    <row r="27" spans="1:23" ht="17.100000000000001" customHeight="1">
      <c r="A27" s="109">
        <v>16000</v>
      </c>
      <c r="B27" s="504">
        <f>IF(C27="O","",RANK(W27,W$24:W$88,1)+COUNTIF($W$24:W27,W27)-1)</f>
        <v>23</v>
      </c>
      <c r="C27" s="446"/>
      <c r="D27" s="285" t="s">
        <v>30</v>
      </c>
      <c r="E27" s="286">
        <v>65000</v>
      </c>
      <c r="F27" s="287">
        <v>350</v>
      </c>
      <c r="G27" s="288" t="s">
        <v>18</v>
      </c>
      <c r="H27" s="286">
        <v>6000</v>
      </c>
      <c r="I27" s="289">
        <f t="shared" si="6"/>
        <v>16000</v>
      </c>
      <c r="J27" s="290">
        <f t="shared" si="7"/>
        <v>53900.000000000007</v>
      </c>
      <c r="K27" s="291">
        <f t="shared" si="14"/>
        <v>0</v>
      </c>
      <c r="L27" s="292">
        <v>0</v>
      </c>
      <c r="M27" s="293">
        <f t="shared" si="15"/>
        <v>53900.000000000007</v>
      </c>
      <c r="N27" s="294" t="str">
        <f t="shared" si="8"/>
        <v/>
      </c>
      <c r="O27" s="733"/>
      <c r="P27" s="151">
        <f t="shared" si="9"/>
        <v>-4000</v>
      </c>
      <c r="Q27" s="152">
        <f t="shared" si="10"/>
        <v>23</v>
      </c>
      <c r="R27" s="47">
        <f t="shared" si="11"/>
        <v>23</v>
      </c>
      <c r="S27" s="47">
        <f t="shared" si="12"/>
        <v>23</v>
      </c>
      <c r="T27" s="47">
        <f t="shared" si="16"/>
        <v>23</v>
      </c>
      <c r="U27" s="47">
        <f t="shared" si="17"/>
        <v>23</v>
      </c>
      <c r="V27" s="153">
        <v>4000</v>
      </c>
      <c r="W27" s="464">
        <f t="shared" si="13"/>
        <v>53900.000000000007</v>
      </c>
    </row>
    <row r="28" spans="1:23" ht="17.100000000000001" customHeight="1">
      <c r="A28" s="109">
        <v>18000</v>
      </c>
      <c r="B28" s="504">
        <f>IF(C28="O","",RANK(W28,W$24:W$88,1)+COUNTIF($W$24:W28,W28)-1)</f>
        <v>37</v>
      </c>
      <c r="C28" s="446"/>
      <c r="D28" s="285" t="s">
        <v>31</v>
      </c>
      <c r="E28" s="286">
        <v>75000</v>
      </c>
      <c r="F28" s="287">
        <v>450</v>
      </c>
      <c r="G28" s="288" t="s">
        <v>15</v>
      </c>
      <c r="H28" s="286">
        <v>10000</v>
      </c>
      <c r="I28" s="289">
        <f t="shared" si="6"/>
        <v>18000</v>
      </c>
      <c r="J28" s="290">
        <f t="shared" si="7"/>
        <v>62700.000000000007</v>
      </c>
      <c r="K28" s="291">
        <f t="shared" si="14"/>
        <v>0</v>
      </c>
      <c r="L28" s="292">
        <v>0</v>
      </c>
      <c r="M28" s="293">
        <f t="shared" si="15"/>
        <v>62700.000000000007</v>
      </c>
      <c r="N28" s="294" t="str">
        <f t="shared" si="8"/>
        <v/>
      </c>
      <c r="O28" s="733"/>
      <c r="P28" s="151">
        <f t="shared" si="9"/>
        <v>-8000</v>
      </c>
      <c r="Q28" s="152">
        <f t="shared" si="10"/>
        <v>37</v>
      </c>
      <c r="R28" s="47">
        <f t="shared" si="11"/>
        <v>37</v>
      </c>
      <c r="S28" s="47">
        <f t="shared" si="12"/>
        <v>37</v>
      </c>
      <c r="T28" s="47">
        <f t="shared" si="16"/>
        <v>37</v>
      </c>
      <c r="U28" s="47">
        <f t="shared" si="17"/>
        <v>37</v>
      </c>
      <c r="V28" s="153">
        <v>6000</v>
      </c>
      <c r="W28" s="464">
        <f t="shared" si="13"/>
        <v>62700.000000000007</v>
      </c>
    </row>
    <row r="29" spans="1:23" ht="17.100000000000001" customHeight="1">
      <c r="A29" s="109">
        <v>20000</v>
      </c>
      <c r="B29" s="504">
        <f>IF(C29="O","",RANK(W29,W$24:W$88,1)+COUNTIF($W$24:W29,W29)-1)</f>
        <v>46</v>
      </c>
      <c r="C29" s="446"/>
      <c r="D29" s="285" t="s">
        <v>33</v>
      </c>
      <c r="E29" s="286">
        <v>85000</v>
      </c>
      <c r="F29" s="287">
        <v>650</v>
      </c>
      <c r="G29" s="288" t="s">
        <v>15</v>
      </c>
      <c r="H29" s="286">
        <v>14000</v>
      </c>
      <c r="I29" s="289">
        <f t="shared" si="6"/>
        <v>20000</v>
      </c>
      <c r="J29" s="290">
        <f t="shared" si="7"/>
        <v>71500</v>
      </c>
      <c r="K29" s="291">
        <f t="shared" si="14"/>
        <v>0</v>
      </c>
      <c r="L29" s="292">
        <v>0</v>
      </c>
      <c r="M29" s="293">
        <f t="shared" si="15"/>
        <v>71500</v>
      </c>
      <c r="N29" s="294" t="str">
        <f t="shared" si="8"/>
        <v/>
      </c>
      <c r="O29" s="733"/>
      <c r="P29" s="151">
        <f t="shared" si="9"/>
        <v>-12000</v>
      </c>
      <c r="Q29" s="152">
        <f t="shared" si="10"/>
        <v>46</v>
      </c>
      <c r="R29" s="47">
        <f t="shared" si="11"/>
        <v>46</v>
      </c>
      <c r="S29" s="47">
        <f t="shared" si="12"/>
        <v>46</v>
      </c>
      <c r="T29" s="47">
        <f t="shared" si="16"/>
        <v>46</v>
      </c>
      <c r="U29" s="47">
        <f t="shared" si="17"/>
        <v>46</v>
      </c>
      <c r="V29" s="153">
        <v>6000</v>
      </c>
      <c r="W29" s="464">
        <f t="shared" si="13"/>
        <v>71500</v>
      </c>
    </row>
    <row r="30" spans="1:23" ht="17.100000000000001" customHeight="1">
      <c r="A30" s="109">
        <v>24000</v>
      </c>
      <c r="B30" s="504">
        <f>IF(C30="O","",RANK(W30,W$24:W$88,1)+COUNTIF($W$24:W30,W30)-1)</f>
        <v>53</v>
      </c>
      <c r="C30" s="446"/>
      <c r="D30" s="285" t="s">
        <v>35</v>
      </c>
      <c r="E30" s="286">
        <v>100000</v>
      </c>
      <c r="F30" s="287">
        <v>1050</v>
      </c>
      <c r="G30" s="288" t="s">
        <v>15</v>
      </c>
      <c r="H30" s="286">
        <v>20000</v>
      </c>
      <c r="I30" s="289">
        <f t="shared" si="6"/>
        <v>24000</v>
      </c>
      <c r="J30" s="290">
        <f t="shared" si="7"/>
        <v>83600</v>
      </c>
      <c r="K30" s="291">
        <f t="shared" si="14"/>
        <v>0</v>
      </c>
      <c r="L30" s="292">
        <f t="shared" ref="L30:L31" si="18">IF($F$10&lt;$G30,0,($F$10-G30)*20)</f>
        <v>0</v>
      </c>
      <c r="M30" s="293">
        <f t="shared" si="15"/>
        <v>83600</v>
      </c>
      <c r="N30" s="294" t="str">
        <f t="shared" si="8"/>
        <v/>
      </c>
      <c r="O30" s="733"/>
      <c r="P30" s="151">
        <f t="shared" si="9"/>
        <v>-18000</v>
      </c>
      <c r="Q30" s="152">
        <f t="shared" si="10"/>
        <v>53</v>
      </c>
      <c r="R30" s="47">
        <f t="shared" si="11"/>
        <v>53</v>
      </c>
      <c r="S30" s="47">
        <f t="shared" si="12"/>
        <v>53</v>
      </c>
      <c r="T30" s="47">
        <f t="shared" si="16"/>
        <v>53</v>
      </c>
      <c r="U30" s="47">
        <f t="shared" si="17"/>
        <v>53</v>
      </c>
      <c r="V30" s="153">
        <v>10000</v>
      </c>
      <c r="W30" s="464">
        <f t="shared" si="13"/>
        <v>83600</v>
      </c>
    </row>
    <row r="31" spans="1:23" ht="17.100000000000001" customHeight="1" thickBot="1">
      <c r="A31" s="109">
        <v>30000</v>
      </c>
      <c r="B31" s="504">
        <f>IF(C31="O","",RANK(W31,W$24:W$88,1)+COUNTIF($W$24:W31,W31)-1)</f>
        <v>57</v>
      </c>
      <c r="C31" s="451"/>
      <c r="D31" s="295" t="s">
        <v>36</v>
      </c>
      <c r="E31" s="296">
        <v>125000</v>
      </c>
      <c r="F31" s="297">
        <v>1250</v>
      </c>
      <c r="G31" s="298" t="s">
        <v>15</v>
      </c>
      <c r="H31" s="296">
        <v>25000</v>
      </c>
      <c r="I31" s="299">
        <f t="shared" si="6"/>
        <v>30000</v>
      </c>
      <c r="J31" s="300">
        <f t="shared" si="7"/>
        <v>104500.00000000001</v>
      </c>
      <c r="K31" s="301">
        <f t="shared" si="14"/>
        <v>0</v>
      </c>
      <c r="L31" s="302">
        <f t="shared" si="18"/>
        <v>0</v>
      </c>
      <c r="M31" s="303">
        <f t="shared" si="15"/>
        <v>104500.00000000001</v>
      </c>
      <c r="N31" s="304" t="str">
        <f t="shared" si="8"/>
        <v/>
      </c>
      <c r="O31" s="733"/>
      <c r="P31" s="151">
        <f t="shared" si="9"/>
        <v>-23000</v>
      </c>
      <c r="Q31" s="152">
        <f t="shared" si="10"/>
        <v>57</v>
      </c>
      <c r="R31" s="47">
        <f t="shared" si="11"/>
        <v>57</v>
      </c>
      <c r="S31" s="47">
        <f t="shared" si="12"/>
        <v>57</v>
      </c>
      <c r="T31" s="47">
        <f t="shared" si="16"/>
        <v>57</v>
      </c>
      <c r="U31" s="47">
        <f t="shared" si="17"/>
        <v>57</v>
      </c>
      <c r="V31" s="153">
        <v>10000</v>
      </c>
      <c r="W31" s="464">
        <f t="shared" si="13"/>
        <v>104500.00000000001</v>
      </c>
    </row>
    <row r="32" spans="1:23" ht="17.100000000000001" customHeight="1">
      <c r="A32" s="109">
        <v>16000</v>
      </c>
      <c r="B32" s="504">
        <f>IF(C32="O","",RANK(W32,W$24:W$88,1)+COUNTIF($W$24:W32,W32)-1)</f>
        <v>31</v>
      </c>
      <c r="C32" s="445"/>
      <c r="D32" s="305" t="s">
        <v>50</v>
      </c>
      <c r="E32" s="306">
        <v>67000</v>
      </c>
      <c r="F32" s="307" t="s">
        <v>38</v>
      </c>
      <c r="G32" s="308" t="s">
        <v>15</v>
      </c>
      <c r="H32" s="306">
        <v>5000</v>
      </c>
      <c r="I32" s="309">
        <f t="shared" si="6"/>
        <v>16000</v>
      </c>
      <c r="J32" s="310">
        <f t="shared" si="7"/>
        <v>56100.000000000007</v>
      </c>
      <c r="K32" s="311">
        <f t="shared" ref="K32:K36" si="19">IF(F$8*(100-F$9)/100&lt;F32,0,((F$8*(100-F$9)/100)-F32)*60*1.8)</f>
        <v>0</v>
      </c>
      <c r="L32" s="312">
        <v>0</v>
      </c>
      <c r="M32" s="313">
        <f t="shared" si="15"/>
        <v>56100.000000000007</v>
      </c>
      <c r="N32" s="314" t="str">
        <f t="shared" si="8"/>
        <v/>
      </c>
      <c r="O32" s="728" t="s">
        <v>234</v>
      </c>
      <c r="P32" s="151">
        <f t="shared" si="9"/>
        <v>-3000</v>
      </c>
      <c r="Q32" s="152">
        <f t="shared" si="10"/>
        <v>31</v>
      </c>
      <c r="R32" s="47">
        <f t="shared" si="11"/>
        <v>31</v>
      </c>
      <c r="S32" s="47">
        <f t="shared" si="12"/>
        <v>31</v>
      </c>
      <c r="T32" s="47">
        <f t="shared" si="16"/>
        <v>31</v>
      </c>
      <c r="U32" s="47">
        <f t="shared" si="17"/>
        <v>31</v>
      </c>
      <c r="V32" s="153">
        <v>4000</v>
      </c>
      <c r="W32" s="464">
        <f t="shared" si="13"/>
        <v>56100.000000000007</v>
      </c>
    </row>
    <row r="33" spans="1:23" ht="17.100000000000001" customHeight="1">
      <c r="A33" s="109">
        <v>18000</v>
      </c>
      <c r="B33" s="504">
        <f>IF(C33="O","",RANK(W33,W$24:W$88,1)+COUNTIF($W$24:W33,W33)-1)</f>
        <v>41</v>
      </c>
      <c r="C33" s="446"/>
      <c r="D33" s="285" t="s">
        <v>32</v>
      </c>
      <c r="E33" s="286">
        <v>77000</v>
      </c>
      <c r="F33" s="315" t="s">
        <v>39</v>
      </c>
      <c r="G33" s="288" t="s">
        <v>15</v>
      </c>
      <c r="H33" s="286">
        <v>9000</v>
      </c>
      <c r="I33" s="289">
        <f t="shared" si="6"/>
        <v>18000</v>
      </c>
      <c r="J33" s="290">
        <f t="shared" si="7"/>
        <v>64900.000000000007</v>
      </c>
      <c r="K33" s="291">
        <f t="shared" si="19"/>
        <v>0</v>
      </c>
      <c r="L33" s="292">
        <v>0</v>
      </c>
      <c r="M33" s="293">
        <f t="shared" si="15"/>
        <v>64900.000000000007</v>
      </c>
      <c r="N33" s="294" t="str">
        <f t="shared" si="8"/>
        <v/>
      </c>
      <c r="O33" s="729"/>
      <c r="P33" s="151">
        <f t="shared" si="9"/>
        <v>-7000</v>
      </c>
      <c r="Q33" s="152">
        <f t="shared" si="10"/>
        <v>41</v>
      </c>
      <c r="R33" s="47">
        <f t="shared" si="11"/>
        <v>41</v>
      </c>
      <c r="S33" s="47">
        <f t="shared" si="12"/>
        <v>41</v>
      </c>
      <c r="T33" s="47">
        <f t="shared" si="16"/>
        <v>41</v>
      </c>
      <c r="U33" s="47">
        <f t="shared" si="17"/>
        <v>41</v>
      </c>
      <c r="V33" s="153">
        <v>6000</v>
      </c>
      <c r="W33" s="464">
        <f t="shared" si="13"/>
        <v>64900.000000000007</v>
      </c>
    </row>
    <row r="34" spans="1:23" ht="17.100000000000001" customHeight="1" thickBot="1">
      <c r="A34" s="109">
        <v>20000</v>
      </c>
      <c r="B34" s="504">
        <f>IF(C34="O","",RANK(W34,W$24:W$88,1)+COUNTIF($W$24:W34,W34)-1)</f>
        <v>56</v>
      </c>
      <c r="C34" s="459"/>
      <c r="D34" s="316" t="s">
        <v>34</v>
      </c>
      <c r="E34" s="317">
        <v>97000</v>
      </c>
      <c r="F34" s="318" t="s">
        <v>39</v>
      </c>
      <c r="G34" s="319" t="s">
        <v>15</v>
      </c>
      <c r="H34" s="317">
        <v>17000</v>
      </c>
      <c r="I34" s="320">
        <f t="shared" si="6"/>
        <v>20000</v>
      </c>
      <c r="J34" s="321">
        <f t="shared" si="7"/>
        <v>84700</v>
      </c>
      <c r="K34" s="322">
        <f t="shared" si="19"/>
        <v>0</v>
      </c>
      <c r="L34" s="323">
        <v>0</v>
      </c>
      <c r="M34" s="324">
        <f t="shared" si="15"/>
        <v>84700</v>
      </c>
      <c r="N34" s="325" t="str">
        <f t="shared" si="8"/>
        <v/>
      </c>
      <c r="O34" s="730"/>
      <c r="P34" s="151">
        <f t="shared" si="9"/>
        <v>-15000</v>
      </c>
      <c r="Q34" s="152">
        <f t="shared" si="10"/>
        <v>56</v>
      </c>
      <c r="R34" s="47">
        <f t="shared" si="11"/>
        <v>56</v>
      </c>
      <c r="S34" s="47">
        <f t="shared" si="12"/>
        <v>56</v>
      </c>
      <c r="T34" s="47">
        <f t="shared" si="16"/>
        <v>56</v>
      </c>
      <c r="U34" s="47">
        <f t="shared" si="17"/>
        <v>56</v>
      </c>
      <c r="V34" s="153">
        <v>8000</v>
      </c>
      <c r="W34" s="464">
        <f t="shared" si="13"/>
        <v>84700</v>
      </c>
    </row>
    <row r="35" spans="1:23" ht="17.100000000000001" customHeight="1">
      <c r="A35" s="109">
        <v>18000</v>
      </c>
      <c r="B35" s="504">
        <f>IF(C35="O","",RANK(W35,W$24:W$88,1)+COUNTIF($W$24:W35,W35)-1)</f>
        <v>44</v>
      </c>
      <c r="C35" s="455"/>
      <c r="D35" s="326" t="s">
        <v>233</v>
      </c>
      <c r="E35" s="327">
        <v>79000</v>
      </c>
      <c r="F35" s="328" t="s">
        <v>38</v>
      </c>
      <c r="G35" s="329" t="s">
        <v>15</v>
      </c>
      <c r="H35" s="330" t="s">
        <v>15</v>
      </c>
      <c r="I35" s="331">
        <f t="shared" si="6"/>
        <v>18000</v>
      </c>
      <c r="J35" s="280">
        <f t="shared" si="7"/>
        <v>67100</v>
      </c>
      <c r="K35" s="281">
        <f t="shared" si="19"/>
        <v>0</v>
      </c>
      <c r="L35" s="282">
        <v>0</v>
      </c>
      <c r="M35" s="283">
        <f t="shared" si="15"/>
        <v>67100</v>
      </c>
      <c r="N35" s="284" t="str">
        <f t="shared" si="8"/>
        <v/>
      </c>
      <c r="O35" s="731" t="s">
        <v>235</v>
      </c>
      <c r="P35" s="151">
        <v>1</v>
      </c>
      <c r="Q35" s="152">
        <f t="shared" si="10"/>
        <v>44</v>
      </c>
      <c r="R35" s="47">
        <f t="shared" si="11"/>
        <v>44</v>
      </c>
      <c r="S35" s="47">
        <f t="shared" si="12"/>
        <v>44</v>
      </c>
      <c r="T35" s="47">
        <f t="shared" si="16"/>
        <v>44</v>
      </c>
      <c r="U35" s="47">
        <f t="shared" si="17"/>
        <v>44</v>
      </c>
      <c r="V35" s="153">
        <v>8000</v>
      </c>
      <c r="W35" s="464">
        <f t="shared" si="13"/>
        <v>67100</v>
      </c>
    </row>
    <row r="36" spans="1:23" ht="17.100000000000001" customHeight="1" thickBot="1">
      <c r="A36" s="110">
        <v>30000</v>
      </c>
      <c r="B36" s="504">
        <f>IF(C36="O","",RANK(W36,W$24:W$88,1)+COUNTIF($W$24:W36,W36)-1)</f>
        <v>59</v>
      </c>
      <c r="C36" s="452"/>
      <c r="D36" s="332" t="s">
        <v>37</v>
      </c>
      <c r="E36" s="333">
        <v>129000</v>
      </c>
      <c r="F36" s="334" t="s">
        <v>38</v>
      </c>
      <c r="G36" s="298" t="s">
        <v>15</v>
      </c>
      <c r="H36" s="335" t="s">
        <v>18</v>
      </c>
      <c r="I36" s="299">
        <f t="shared" si="6"/>
        <v>30000</v>
      </c>
      <c r="J36" s="300">
        <f t="shared" si="7"/>
        <v>108900.00000000001</v>
      </c>
      <c r="K36" s="301">
        <f t="shared" si="19"/>
        <v>0</v>
      </c>
      <c r="L36" s="302">
        <f t="shared" ref="L36:L83" si="20">IF($F$10&lt;$G36,0,($F$10-G36)*20)</f>
        <v>0</v>
      </c>
      <c r="M36" s="303">
        <f t="shared" si="15"/>
        <v>108900.00000000001</v>
      </c>
      <c r="N36" s="304" t="str">
        <f t="shared" si="8"/>
        <v/>
      </c>
      <c r="O36" s="732"/>
      <c r="P36" s="151">
        <v>1</v>
      </c>
      <c r="Q36" s="152">
        <f t="shared" si="10"/>
        <v>59</v>
      </c>
      <c r="R36" s="47">
        <f t="shared" si="11"/>
        <v>59</v>
      </c>
      <c r="S36" s="47">
        <f t="shared" si="12"/>
        <v>59</v>
      </c>
      <c r="T36" s="47">
        <f t="shared" si="16"/>
        <v>59</v>
      </c>
      <c r="U36" s="47">
        <f t="shared" si="17"/>
        <v>59</v>
      </c>
      <c r="V36" s="154">
        <v>10000</v>
      </c>
      <c r="W36" s="464">
        <f t="shared" si="13"/>
        <v>108900.00000000001</v>
      </c>
    </row>
    <row r="37" spans="1:23" ht="17.100000000000001" customHeight="1">
      <c r="A37" s="111">
        <v>7000</v>
      </c>
      <c r="B37" s="504">
        <f>IF(C37="O","",RANK(W37,W$24:W$88,1)+COUNTIF($W$24:W37,W37)-1)</f>
        <v>12</v>
      </c>
      <c r="C37" s="460"/>
      <c r="D37" s="275" t="s">
        <v>41</v>
      </c>
      <c r="E37" s="276">
        <v>34000</v>
      </c>
      <c r="F37" s="277">
        <v>160</v>
      </c>
      <c r="G37" s="336">
        <v>200</v>
      </c>
      <c r="H37" s="276">
        <v>750</v>
      </c>
      <c r="I37" s="279">
        <f t="shared" si="6"/>
        <v>7000</v>
      </c>
      <c r="J37" s="280">
        <f t="shared" si="7"/>
        <v>29700.000000000004</v>
      </c>
      <c r="K37" s="281">
        <f>IF(F$8&lt;F37,0,((F$8-F37)*60*1.8))*IF($N$10="O",0.65,1)</f>
        <v>16308</v>
      </c>
      <c r="L37" s="282">
        <f>IF($F$10&lt;$G37,0,($F$10-G37)*20)*IF($N$10="O",0.65,1)</f>
        <v>20</v>
      </c>
      <c r="M37" s="283">
        <f t="shared" si="15"/>
        <v>47660.800000000003</v>
      </c>
      <c r="N37" s="284" t="str">
        <f t="shared" si="8"/>
        <v>데이터(1.25GB) 부족</v>
      </c>
      <c r="O37" s="723" t="s">
        <v>51</v>
      </c>
      <c r="P37" s="151">
        <f t="shared" ref="P37:P47" si="21">$F$11-H37</f>
        <v>1250</v>
      </c>
      <c r="Q37" s="152">
        <f t="shared" si="10"/>
        <v>12</v>
      </c>
      <c r="R37" s="47">
        <f t="shared" si="11"/>
        <v>12</v>
      </c>
      <c r="S37" s="47" t="str">
        <f t="shared" si="12"/>
        <v/>
      </c>
      <c r="T37" s="47" t="str">
        <f t="shared" si="16"/>
        <v/>
      </c>
      <c r="U37" s="47">
        <f t="shared" si="17"/>
        <v>12</v>
      </c>
      <c r="V37" s="153">
        <v>1500</v>
      </c>
      <c r="W37" s="464">
        <f t="shared" si="13"/>
        <v>47660.800000000003</v>
      </c>
    </row>
    <row r="38" spans="1:23" ht="17.100000000000001" customHeight="1">
      <c r="A38" s="111">
        <v>11000</v>
      </c>
      <c r="B38" s="504">
        <f>IF(C38="O","",RANK(W38,W$24:W$88,1)+COUNTIF($W$24:W38,W38)-1)</f>
        <v>10</v>
      </c>
      <c r="C38" s="447"/>
      <c r="D38" s="285" t="s">
        <v>42</v>
      </c>
      <c r="E38" s="286">
        <v>42000</v>
      </c>
      <c r="F38" s="287">
        <v>200</v>
      </c>
      <c r="G38" s="337">
        <v>200</v>
      </c>
      <c r="H38" s="286">
        <v>1500</v>
      </c>
      <c r="I38" s="289">
        <f t="shared" si="6"/>
        <v>11000</v>
      </c>
      <c r="J38" s="290">
        <f t="shared" si="7"/>
        <v>34100</v>
      </c>
      <c r="K38" s="291">
        <f t="shared" ref="K38:K41" si="22">IF(F$8&lt;F38,0,((F$8-F38)*60*1.8))*IF($N$10="O",0.65,1)</f>
        <v>11988</v>
      </c>
      <c r="L38" s="292">
        <f t="shared" ref="L38:L41" si="23">IF($F$10&lt;$G38,0,($F$10-G38)*20)*IF($N$10="O",0.65,1)</f>
        <v>20</v>
      </c>
      <c r="M38" s="293">
        <f t="shared" si="15"/>
        <v>47308.800000000003</v>
      </c>
      <c r="N38" s="294" t="str">
        <f t="shared" si="8"/>
        <v>데이터(0.5GB) 부족</v>
      </c>
      <c r="O38" s="724"/>
      <c r="P38" s="151">
        <f t="shared" si="21"/>
        <v>500</v>
      </c>
      <c r="Q38" s="152">
        <f t="shared" si="10"/>
        <v>10</v>
      </c>
      <c r="R38" s="47">
        <f t="shared" si="11"/>
        <v>10</v>
      </c>
      <c r="S38" s="47" t="str">
        <f t="shared" si="12"/>
        <v/>
      </c>
      <c r="T38" s="47" t="str">
        <f t="shared" si="16"/>
        <v/>
      </c>
      <c r="U38" s="47">
        <f t="shared" si="17"/>
        <v>10</v>
      </c>
      <c r="V38" s="153">
        <v>2500</v>
      </c>
      <c r="W38" s="464">
        <f t="shared" si="13"/>
        <v>47308.800000000003</v>
      </c>
    </row>
    <row r="39" spans="1:23" ht="17.100000000000001" customHeight="1">
      <c r="A39" s="111">
        <v>14000</v>
      </c>
      <c r="B39" s="504">
        <f>IF(C39="O","",RANK(W39,W$24:W$88,1)+COUNTIF($W$24:W39,W39)-1)</f>
        <v>15</v>
      </c>
      <c r="C39" s="447"/>
      <c r="D39" s="285" t="s">
        <v>43</v>
      </c>
      <c r="E39" s="286">
        <v>52000</v>
      </c>
      <c r="F39" s="287">
        <v>250</v>
      </c>
      <c r="G39" s="337">
        <v>250</v>
      </c>
      <c r="H39" s="286">
        <v>2500</v>
      </c>
      <c r="I39" s="289">
        <f t="shared" si="6"/>
        <v>14000</v>
      </c>
      <c r="J39" s="290">
        <f t="shared" si="7"/>
        <v>41800</v>
      </c>
      <c r="K39" s="291">
        <f t="shared" si="22"/>
        <v>6588</v>
      </c>
      <c r="L39" s="292">
        <f t="shared" si="23"/>
        <v>0</v>
      </c>
      <c r="M39" s="293">
        <f t="shared" si="15"/>
        <v>49046.8</v>
      </c>
      <c r="N39" s="294" t="str">
        <f t="shared" si="8"/>
        <v/>
      </c>
      <c r="O39" s="724"/>
      <c r="P39" s="151">
        <f t="shared" si="21"/>
        <v>-500</v>
      </c>
      <c r="Q39" s="152">
        <f t="shared" si="10"/>
        <v>15</v>
      </c>
      <c r="R39" s="47">
        <f t="shared" si="11"/>
        <v>15</v>
      </c>
      <c r="S39" s="47">
        <f t="shared" si="12"/>
        <v>15</v>
      </c>
      <c r="T39" s="47">
        <f t="shared" si="16"/>
        <v>15</v>
      </c>
      <c r="U39" s="47">
        <f t="shared" si="17"/>
        <v>15</v>
      </c>
      <c r="V39" s="153">
        <v>4000</v>
      </c>
      <c r="W39" s="464">
        <f t="shared" si="13"/>
        <v>49046.8</v>
      </c>
    </row>
    <row r="40" spans="1:23" ht="17.100000000000001" customHeight="1">
      <c r="A40" s="111">
        <v>16000</v>
      </c>
      <c r="B40" s="504">
        <f>IF(C40="O","",RANK(W40,W$24:W$88,1)+COUNTIF($W$24:W40,W40)-1)</f>
        <v>17</v>
      </c>
      <c r="C40" s="447"/>
      <c r="D40" s="285" t="s">
        <v>44</v>
      </c>
      <c r="E40" s="286">
        <v>62000</v>
      </c>
      <c r="F40" s="287">
        <v>350</v>
      </c>
      <c r="G40" s="337">
        <v>350</v>
      </c>
      <c r="H40" s="286">
        <v>6000</v>
      </c>
      <c r="I40" s="338">
        <f t="shared" si="6"/>
        <v>16000</v>
      </c>
      <c r="J40" s="339">
        <f t="shared" si="7"/>
        <v>50600.000000000007</v>
      </c>
      <c r="K40" s="291">
        <f t="shared" si="22"/>
        <v>0</v>
      </c>
      <c r="L40" s="292">
        <f t="shared" si="23"/>
        <v>0</v>
      </c>
      <c r="M40" s="293">
        <f t="shared" si="15"/>
        <v>50600.000000000007</v>
      </c>
      <c r="N40" s="340" t="str">
        <f t="shared" si="8"/>
        <v/>
      </c>
      <c r="O40" s="724"/>
      <c r="P40" s="604">
        <f t="shared" si="21"/>
        <v>-4000</v>
      </c>
      <c r="Q40" s="152">
        <f t="shared" si="10"/>
        <v>17</v>
      </c>
      <c r="R40" s="47">
        <f t="shared" si="11"/>
        <v>17</v>
      </c>
      <c r="S40" s="47">
        <f t="shared" si="12"/>
        <v>17</v>
      </c>
      <c r="T40" s="47">
        <f t="shared" si="16"/>
        <v>17</v>
      </c>
      <c r="U40" s="47">
        <f t="shared" si="17"/>
        <v>17</v>
      </c>
      <c r="V40" s="153">
        <v>4000</v>
      </c>
      <c r="W40" s="464">
        <f t="shared" si="13"/>
        <v>50600.000000000007</v>
      </c>
    </row>
    <row r="41" spans="1:23" ht="17.100000000000001" customHeight="1" thickBot="1">
      <c r="A41" s="111">
        <v>18000</v>
      </c>
      <c r="B41" s="504">
        <f>IF(C41="O","",RANK(W41,W$24:W$88,1)+COUNTIF($W$24:W41,W41)-1)</f>
        <v>35</v>
      </c>
      <c r="C41" s="461"/>
      <c r="D41" s="295" t="s">
        <v>45</v>
      </c>
      <c r="E41" s="296">
        <v>72000</v>
      </c>
      <c r="F41" s="297">
        <v>450</v>
      </c>
      <c r="G41" s="341">
        <v>450</v>
      </c>
      <c r="H41" s="296">
        <v>10000</v>
      </c>
      <c r="I41" s="342">
        <f t="shared" si="6"/>
        <v>18000</v>
      </c>
      <c r="J41" s="343">
        <f t="shared" si="7"/>
        <v>59400.000000000007</v>
      </c>
      <c r="K41" s="322">
        <f t="shared" si="22"/>
        <v>0</v>
      </c>
      <c r="L41" s="323">
        <f t="shared" si="23"/>
        <v>0</v>
      </c>
      <c r="M41" s="324">
        <f t="shared" si="15"/>
        <v>59400.000000000007</v>
      </c>
      <c r="N41" s="344" t="str">
        <f t="shared" si="8"/>
        <v/>
      </c>
      <c r="O41" s="725"/>
      <c r="P41" s="604">
        <f t="shared" si="21"/>
        <v>-8000</v>
      </c>
      <c r="Q41" s="152">
        <f t="shared" si="10"/>
        <v>35</v>
      </c>
      <c r="R41" s="47">
        <f t="shared" si="11"/>
        <v>35</v>
      </c>
      <c r="S41" s="47">
        <f t="shared" si="12"/>
        <v>35</v>
      </c>
      <c r="T41" s="47">
        <f t="shared" si="16"/>
        <v>35</v>
      </c>
      <c r="U41" s="47">
        <f t="shared" si="17"/>
        <v>35</v>
      </c>
      <c r="V41" s="153">
        <v>6000</v>
      </c>
      <c r="W41" s="464">
        <f t="shared" si="13"/>
        <v>59400.000000000007</v>
      </c>
    </row>
    <row r="42" spans="1:23" ht="17.100000000000001" customHeight="1">
      <c r="A42" s="111">
        <v>14000</v>
      </c>
      <c r="B42" s="504">
        <f>IF(C42="O","",RANK(W42,W$24:W$88,1)+COUNTIF($W$24:W42,W42)-1)</f>
        <v>7</v>
      </c>
      <c r="C42" s="456"/>
      <c r="D42" s="305" t="s">
        <v>52</v>
      </c>
      <c r="E42" s="306">
        <v>55000</v>
      </c>
      <c r="F42" s="345">
        <v>250</v>
      </c>
      <c r="G42" s="346">
        <v>250</v>
      </c>
      <c r="H42" s="306">
        <v>2500</v>
      </c>
      <c r="I42" s="347">
        <f t="shared" si="6"/>
        <v>14000</v>
      </c>
      <c r="J42" s="348">
        <f t="shared" si="7"/>
        <v>45100.000000000007</v>
      </c>
      <c r="K42" s="349">
        <f>IF(IF($I$8-3000&gt;0,$I$8-3000,0)+$I$9-F42&gt;0,IF($I$8-3000&gt;0,$I$8-3000,0)+$I$9-F42,0)*60*1.8*IF($N$10="O",0.65,1)</f>
        <v>0</v>
      </c>
      <c r="L42" s="282">
        <f>IF($F$10&lt;$G42,0,($F$10-G42)*20)*IF($N$10="O",0.65,1)</f>
        <v>0</v>
      </c>
      <c r="M42" s="283">
        <f t="shared" si="15"/>
        <v>45100.000000000007</v>
      </c>
      <c r="N42" s="350" t="str">
        <f t="shared" si="8"/>
        <v/>
      </c>
      <c r="O42" s="723" t="s">
        <v>73</v>
      </c>
      <c r="P42" s="604">
        <f t="shared" si="21"/>
        <v>-500</v>
      </c>
      <c r="Q42" s="152">
        <f t="shared" si="10"/>
        <v>7</v>
      </c>
      <c r="R42" s="47">
        <f t="shared" si="11"/>
        <v>7</v>
      </c>
      <c r="S42" s="47">
        <f t="shared" si="12"/>
        <v>7</v>
      </c>
      <c r="T42" s="47">
        <f t="shared" si="16"/>
        <v>7</v>
      </c>
      <c r="U42" s="47">
        <f t="shared" si="17"/>
        <v>7</v>
      </c>
      <c r="V42" s="153">
        <v>4000</v>
      </c>
      <c r="W42" s="464">
        <f t="shared" si="13"/>
        <v>45100.000000000007</v>
      </c>
    </row>
    <row r="43" spans="1:23" ht="17.100000000000001" customHeight="1">
      <c r="A43" s="111">
        <v>16000</v>
      </c>
      <c r="B43" s="504">
        <f>IF(C43="O","",RANK(W43,W$24:W$88,1)+COUNTIF($W$24:W43,W43)-1)</f>
        <v>24</v>
      </c>
      <c r="C43" s="447"/>
      <c r="D43" s="285" t="s">
        <v>53</v>
      </c>
      <c r="E43" s="286">
        <v>65000</v>
      </c>
      <c r="F43" s="287">
        <v>350</v>
      </c>
      <c r="G43" s="351">
        <v>350</v>
      </c>
      <c r="H43" s="286">
        <v>6000</v>
      </c>
      <c r="I43" s="338">
        <f t="shared" si="6"/>
        <v>16000</v>
      </c>
      <c r="J43" s="339">
        <f t="shared" si="7"/>
        <v>53900.000000000007</v>
      </c>
      <c r="K43" s="352">
        <f t="shared" ref="K43:K46" si="24">IF(IF($I$8-3000&gt;0,$I$8-3000,0)+$I$9-F43&gt;0,IF($I$8-3000&gt;0,$I$8-3000,0)+$I$9-F43,0)*60*1.8*IF($N$10="O",0.65,1)</f>
        <v>0</v>
      </c>
      <c r="L43" s="292">
        <f t="shared" ref="L43:L46" si="25">IF($F$10&lt;$G43,0,($F$10-G43)*20)*IF($N$10="O",0.65,1)</f>
        <v>0</v>
      </c>
      <c r="M43" s="293">
        <f t="shared" si="15"/>
        <v>53900.000000000007</v>
      </c>
      <c r="N43" s="340" t="str">
        <f t="shared" si="8"/>
        <v/>
      </c>
      <c r="O43" s="724"/>
      <c r="P43" s="604">
        <f t="shared" si="21"/>
        <v>-4000</v>
      </c>
      <c r="Q43" s="152">
        <f t="shared" si="10"/>
        <v>24</v>
      </c>
      <c r="R43" s="47">
        <f t="shared" si="11"/>
        <v>24</v>
      </c>
      <c r="S43" s="47">
        <f t="shared" si="12"/>
        <v>24</v>
      </c>
      <c r="T43" s="47">
        <f t="shared" si="16"/>
        <v>24</v>
      </c>
      <c r="U43" s="47">
        <f t="shared" si="17"/>
        <v>24</v>
      </c>
      <c r="V43" s="153">
        <v>4000</v>
      </c>
      <c r="W43" s="464">
        <f t="shared" si="13"/>
        <v>53900.000000000007</v>
      </c>
    </row>
    <row r="44" spans="1:23" ht="17.100000000000001" customHeight="1">
      <c r="A44" s="111">
        <v>18000</v>
      </c>
      <c r="B44" s="504">
        <f>IF(C44="O","",RANK(W44,W$24:W$88,1)+COUNTIF($W$24:W44,W44)-1)</f>
        <v>38</v>
      </c>
      <c r="C44" s="447"/>
      <c r="D44" s="285" t="s">
        <v>54</v>
      </c>
      <c r="E44" s="286">
        <v>75000</v>
      </c>
      <c r="F44" s="287">
        <v>450</v>
      </c>
      <c r="G44" s="351">
        <v>450</v>
      </c>
      <c r="H44" s="286">
        <v>10000</v>
      </c>
      <c r="I44" s="338">
        <f t="shared" si="6"/>
        <v>18000</v>
      </c>
      <c r="J44" s="339">
        <f t="shared" si="7"/>
        <v>62700.000000000007</v>
      </c>
      <c r="K44" s="352">
        <f t="shared" si="24"/>
        <v>0</v>
      </c>
      <c r="L44" s="292">
        <f t="shared" si="25"/>
        <v>0</v>
      </c>
      <c r="M44" s="293">
        <f t="shared" si="15"/>
        <v>62700.000000000007</v>
      </c>
      <c r="N44" s="340" t="str">
        <f t="shared" si="8"/>
        <v/>
      </c>
      <c r="O44" s="724"/>
      <c r="P44" s="604">
        <f t="shared" si="21"/>
        <v>-8000</v>
      </c>
      <c r="Q44" s="152">
        <f t="shared" si="10"/>
        <v>38</v>
      </c>
      <c r="R44" s="47">
        <f t="shared" si="11"/>
        <v>38</v>
      </c>
      <c r="S44" s="47">
        <f t="shared" si="12"/>
        <v>38</v>
      </c>
      <c r="T44" s="47">
        <f t="shared" si="16"/>
        <v>38</v>
      </c>
      <c r="U44" s="47">
        <f t="shared" si="17"/>
        <v>38</v>
      </c>
      <c r="V44" s="153">
        <v>6000</v>
      </c>
      <c r="W44" s="464">
        <f t="shared" si="13"/>
        <v>62700.000000000007</v>
      </c>
    </row>
    <row r="45" spans="1:23" ht="17.100000000000001" customHeight="1">
      <c r="A45" s="111">
        <v>20000</v>
      </c>
      <c r="B45" s="504">
        <f>IF(C45="O","",RANK(W45,W$24:W$88,1)+COUNTIF($W$24:W45,W45)-1)</f>
        <v>47</v>
      </c>
      <c r="C45" s="447"/>
      <c r="D45" s="353" t="s">
        <v>55</v>
      </c>
      <c r="E45" s="337">
        <v>85000</v>
      </c>
      <c r="F45" s="354">
        <v>650</v>
      </c>
      <c r="G45" s="337">
        <v>650</v>
      </c>
      <c r="H45" s="286">
        <v>14000</v>
      </c>
      <c r="I45" s="338">
        <f t="shared" si="6"/>
        <v>20000</v>
      </c>
      <c r="J45" s="339">
        <f t="shared" si="7"/>
        <v>71500</v>
      </c>
      <c r="K45" s="352">
        <f t="shared" si="24"/>
        <v>0</v>
      </c>
      <c r="L45" s="292">
        <f t="shared" si="25"/>
        <v>0</v>
      </c>
      <c r="M45" s="293">
        <f t="shared" si="15"/>
        <v>71500</v>
      </c>
      <c r="N45" s="340" t="str">
        <f t="shared" si="8"/>
        <v/>
      </c>
      <c r="O45" s="724"/>
      <c r="P45" s="604">
        <f t="shared" si="21"/>
        <v>-12000</v>
      </c>
      <c r="Q45" s="152">
        <f t="shared" si="10"/>
        <v>47</v>
      </c>
      <c r="R45" s="47">
        <f t="shared" si="11"/>
        <v>47</v>
      </c>
      <c r="S45" s="47">
        <f t="shared" si="12"/>
        <v>47</v>
      </c>
      <c r="T45" s="47">
        <f t="shared" si="16"/>
        <v>47</v>
      </c>
      <c r="U45" s="47">
        <f t="shared" si="17"/>
        <v>47</v>
      </c>
      <c r="V45" s="153">
        <v>6000</v>
      </c>
      <c r="W45" s="464">
        <f t="shared" si="13"/>
        <v>71500</v>
      </c>
    </row>
    <row r="46" spans="1:23" ht="17.100000000000001" customHeight="1">
      <c r="A46" s="111">
        <v>24000</v>
      </c>
      <c r="B46" s="504">
        <f>IF(C46="O","",RANK(W46,W$24:W$88,1)+COUNTIF($W$24:W46,W46)-1)</f>
        <v>54</v>
      </c>
      <c r="C46" s="447"/>
      <c r="D46" s="353" t="s">
        <v>56</v>
      </c>
      <c r="E46" s="337">
        <v>100000</v>
      </c>
      <c r="F46" s="354">
        <v>1050</v>
      </c>
      <c r="G46" s="337">
        <v>1050</v>
      </c>
      <c r="H46" s="286">
        <v>20000</v>
      </c>
      <c r="I46" s="338">
        <f t="shared" si="6"/>
        <v>24000</v>
      </c>
      <c r="J46" s="339">
        <f t="shared" si="7"/>
        <v>83600</v>
      </c>
      <c r="K46" s="355">
        <f t="shared" si="24"/>
        <v>0</v>
      </c>
      <c r="L46" s="292">
        <f t="shared" si="25"/>
        <v>0</v>
      </c>
      <c r="M46" s="293">
        <f t="shared" si="15"/>
        <v>83600</v>
      </c>
      <c r="N46" s="340" t="str">
        <f t="shared" si="8"/>
        <v/>
      </c>
      <c r="O46" s="724"/>
      <c r="P46" s="604">
        <f t="shared" si="21"/>
        <v>-18000</v>
      </c>
      <c r="Q46" s="152">
        <f t="shared" si="10"/>
        <v>54</v>
      </c>
      <c r="R46" s="47">
        <f t="shared" si="11"/>
        <v>54</v>
      </c>
      <c r="S46" s="47">
        <f t="shared" si="12"/>
        <v>54</v>
      </c>
      <c r="T46" s="47">
        <f t="shared" si="16"/>
        <v>54</v>
      </c>
      <c r="U46" s="47">
        <f t="shared" si="17"/>
        <v>54</v>
      </c>
      <c r="V46" s="153">
        <v>10000</v>
      </c>
      <c r="W46" s="464">
        <f t="shared" si="13"/>
        <v>83600</v>
      </c>
    </row>
    <row r="47" spans="1:23" ht="17.100000000000001" customHeight="1" thickBot="1">
      <c r="A47" s="111">
        <v>30000</v>
      </c>
      <c r="B47" s="504">
        <f>IF(C47="O","",RANK(W47,W$24:W$88,1)+COUNTIF($W$24:W47,W47)-1)</f>
        <v>58</v>
      </c>
      <c r="C47" s="453"/>
      <c r="D47" s="356" t="s">
        <v>47</v>
      </c>
      <c r="E47" s="357">
        <v>125000</v>
      </c>
      <c r="F47" s="358">
        <v>1250</v>
      </c>
      <c r="G47" s="357">
        <v>2500</v>
      </c>
      <c r="H47" s="357">
        <v>25000</v>
      </c>
      <c r="I47" s="359">
        <f t="shared" si="6"/>
        <v>30000</v>
      </c>
      <c r="J47" s="360">
        <f t="shared" si="7"/>
        <v>104500.00000000001</v>
      </c>
      <c r="K47" s="301">
        <f>IF(F$8*(100-F$9)/100&lt;F47,0,((F$8*(100-F$9)/100)-F47)*60*1.8)*IF($N$10="O",0.65,1)</f>
        <v>0</v>
      </c>
      <c r="L47" s="302">
        <f>IF($F$10&lt;$G47,0,($F$10-G47)*20)*IF($N$10="O",0.65,1)</f>
        <v>0</v>
      </c>
      <c r="M47" s="303">
        <f t="shared" si="15"/>
        <v>104500.00000000001</v>
      </c>
      <c r="N47" s="361" t="str">
        <f t="shared" si="8"/>
        <v/>
      </c>
      <c r="O47" s="725"/>
      <c r="P47" s="604">
        <f t="shared" si="21"/>
        <v>-23000</v>
      </c>
      <c r="Q47" s="152">
        <f t="shared" si="10"/>
        <v>58</v>
      </c>
      <c r="R47" s="47">
        <f t="shared" si="11"/>
        <v>58</v>
      </c>
      <c r="S47" s="47">
        <f t="shared" si="12"/>
        <v>58</v>
      </c>
      <c r="T47" s="47">
        <f t="shared" si="16"/>
        <v>58</v>
      </c>
      <c r="U47" s="47">
        <f t="shared" si="17"/>
        <v>58</v>
      </c>
      <c r="V47" s="153">
        <v>10000</v>
      </c>
      <c r="W47" s="464">
        <f t="shared" si="13"/>
        <v>104500.00000000001</v>
      </c>
    </row>
    <row r="48" spans="1:23" ht="17.100000000000001" customHeight="1">
      <c r="A48" s="111">
        <v>14000</v>
      </c>
      <c r="B48" s="504" t="str">
        <f>IF(C48="O","",RANK(W48,W$24:W$88,1)+COUNTIF($W$24:W48,W48)-1)</f>
        <v/>
      </c>
      <c r="C48" s="460" t="s">
        <v>243</v>
      </c>
      <c r="D48" s="275" t="s">
        <v>59</v>
      </c>
      <c r="E48" s="276">
        <v>55000</v>
      </c>
      <c r="F48" s="277">
        <v>250</v>
      </c>
      <c r="G48" s="336">
        <v>250</v>
      </c>
      <c r="H48" s="362" t="s">
        <v>62</v>
      </c>
      <c r="I48" s="363">
        <f t="shared" si="6"/>
        <v>14000</v>
      </c>
      <c r="J48" s="364">
        <f t="shared" si="7"/>
        <v>45100.000000000007</v>
      </c>
      <c r="K48" s="281">
        <f>IF(F$8&lt;F48,0,((F$8-F48)*60*1.8))*IF($N$10="O",0.65,1)</f>
        <v>6588</v>
      </c>
      <c r="L48" s="282">
        <f>IF($F$10&lt;$G48,0,($F$10-G48)*20)*IF($N$10="O",0.65,1)</f>
        <v>0</v>
      </c>
      <c r="M48" s="283">
        <f t="shared" si="15"/>
        <v>52346.80000000001</v>
      </c>
      <c r="N48" s="350" t="str">
        <f t="shared" si="8"/>
        <v/>
      </c>
      <c r="O48" s="723" t="s">
        <v>72</v>
      </c>
      <c r="P48" s="604">
        <v>1</v>
      </c>
      <c r="Q48" s="152" t="str">
        <f t="shared" si="10"/>
        <v/>
      </c>
      <c r="R48" s="47" t="str">
        <f t="shared" si="11"/>
        <v/>
      </c>
      <c r="S48" s="47" t="str">
        <f t="shared" si="12"/>
        <v/>
      </c>
      <c r="T48" s="47" t="str">
        <f t="shared" si="16"/>
        <v/>
      </c>
      <c r="U48" s="47" t="str">
        <f t="shared" si="17"/>
        <v/>
      </c>
      <c r="V48" s="154">
        <v>4000</v>
      </c>
      <c r="W48" s="464" t="str">
        <f t="shared" si="13"/>
        <v/>
      </c>
    </row>
    <row r="49" spans="1:23" ht="17.100000000000001" customHeight="1">
      <c r="A49" s="111">
        <v>16000</v>
      </c>
      <c r="B49" s="504" t="str">
        <f>IF(C49="O","",RANK(W49,W$24:W$88,1)+COUNTIF($W$24:W49,W49)-1)</f>
        <v/>
      </c>
      <c r="C49" s="447" t="s">
        <v>243</v>
      </c>
      <c r="D49" s="285" t="s">
        <v>60</v>
      </c>
      <c r="E49" s="286">
        <v>65000</v>
      </c>
      <c r="F49" s="287">
        <v>350</v>
      </c>
      <c r="G49" s="337">
        <v>350</v>
      </c>
      <c r="H49" s="365" t="s">
        <v>62</v>
      </c>
      <c r="I49" s="338">
        <f t="shared" si="6"/>
        <v>16000</v>
      </c>
      <c r="J49" s="339">
        <f t="shared" si="7"/>
        <v>53900.000000000007</v>
      </c>
      <c r="K49" s="352">
        <f t="shared" ref="K49:K50" si="26">IF(F$8&lt;F49,0,((F$8-F49)*60*1.8))*IF($N$10="O",0.65,1)</f>
        <v>0</v>
      </c>
      <c r="L49" s="292">
        <f t="shared" ref="L49:L53" si="27">IF($F$10&lt;$G49,0,($F$10-G49)*20)*IF($N$10="O",0.65,1)</f>
        <v>0</v>
      </c>
      <c r="M49" s="293">
        <f t="shared" si="15"/>
        <v>53900.000000000007</v>
      </c>
      <c r="N49" s="340" t="str">
        <f t="shared" si="8"/>
        <v/>
      </c>
      <c r="O49" s="724"/>
      <c r="P49" s="604">
        <v>1</v>
      </c>
      <c r="Q49" s="152" t="str">
        <f t="shared" si="10"/>
        <v/>
      </c>
      <c r="R49" s="47" t="str">
        <f t="shared" si="11"/>
        <v/>
      </c>
      <c r="S49" s="47" t="str">
        <f t="shared" si="12"/>
        <v/>
      </c>
      <c r="T49" s="47" t="str">
        <f t="shared" si="16"/>
        <v/>
      </c>
      <c r="U49" s="47" t="str">
        <f t="shared" si="17"/>
        <v/>
      </c>
      <c r="V49" s="154">
        <v>4000</v>
      </c>
      <c r="W49" s="464" t="str">
        <f t="shared" si="13"/>
        <v/>
      </c>
    </row>
    <row r="50" spans="1:23" ht="17.100000000000001" customHeight="1">
      <c r="A50" s="111">
        <v>18000</v>
      </c>
      <c r="B50" s="504" t="str">
        <f>IF(C50="O","",RANK(W50,W$24:W$88,1)+COUNTIF($W$24:W50,W50)-1)</f>
        <v/>
      </c>
      <c r="C50" s="447" t="s">
        <v>243</v>
      </c>
      <c r="D50" s="285" t="s">
        <v>61</v>
      </c>
      <c r="E50" s="286">
        <v>75000</v>
      </c>
      <c r="F50" s="287">
        <v>450</v>
      </c>
      <c r="G50" s="351">
        <v>450</v>
      </c>
      <c r="H50" s="365" t="s">
        <v>62</v>
      </c>
      <c r="I50" s="338">
        <f t="shared" si="6"/>
        <v>18000</v>
      </c>
      <c r="J50" s="339">
        <f t="shared" si="7"/>
        <v>62700.000000000007</v>
      </c>
      <c r="K50" s="352">
        <f t="shared" si="26"/>
        <v>0</v>
      </c>
      <c r="L50" s="292">
        <f t="shared" si="27"/>
        <v>0</v>
      </c>
      <c r="M50" s="293">
        <f t="shared" si="15"/>
        <v>62700.000000000007</v>
      </c>
      <c r="N50" s="340" t="str">
        <f t="shared" si="8"/>
        <v/>
      </c>
      <c r="O50" s="724"/>
      <c r="P50" s="604">
        <v>1</v>
      </c>
      <c r="Q50" s="152" t="str">
        <f t="shared" si="10"/>
        <v/>
      </c>
      <c r="R50" s="47" t="str">
        <f t="shared" si="11"/>
        <v/>
      </c>
      <c r="S50" s="47" t="str">
        <f t="shared" si="12"/>
        <v/>
      </c>
      <c r="T50" s="47" t="str">
        <f t="shared" si="16"/>
        <v/>
      </c>
      <c r="U50" s="47" t="str">
        <f t="shared" si="17"/>
        <v/>
      </c>
      <c r="V50" s="154">
        <v>6000</v>
      </c>
      <c r="W50" s="464" t="str">
        <f t="shared" si="13"/>
        <v/>
      </c>
    </row>
    <row r="51" spans="1:23" ht="17.100000000000001" customHeight="1">
      <c r="A51" s="111">
        <v>20000</v>
      </c>
      <c r="B51" s="504" t="str">
        <f>IF(C51="O","",RANK(W51,W$24:W$88,1)+COUNTIF($W$24:W51,W51)-1)</f>
        <v/>
      </c>
      <c r="C51" s="447" t="s">
        <v>243</v>
      </c>
      <c r="D51" s="353" t="s">
        <v>57</v>
      </c>
      <c r="E51" s="366">
        <v>95000</v>
      </c>
      <c r="F51" s="367">
        <v>650</v>
      </c>
      <c r="G51" s="366">
        <v>650</v>
      </c>
      <c r="H51" s="368" t="s">
        <v>15</v>
      </c>
      <c r="I51" s="338">
        <f t="shared" si="6"/>
        <v>20000</v>
      </c>
      <c r="J51" s="339">
        <f t="shared" si="7"/>
        <v>82500</v>
      </c>
      <c r="K51" s="352">
        <f>IF(IF($I$8-3000&gt;0,$I$8-3000,0)+$I$9-F51&gt;0,IF($I$8-3000&gt;0,$I$8-3000,0)+$I$9-F51,0)*60*1.8*IF($N$10="O",0.65,1)</f>
        <v>0</v>
      </c>
      <c r="L51" s="292">
        <f t="shared" si="27"/>
        <v>0</v>
      </c>
      <c r="M51" s="293">
        <f t="shared" si="15"/>
        <v>82500</v>
      </c>
      <c r="N51" s="340" t="str">
        <f t="shared" si="8"/>
        <v/>
      </c>
      <c r="O51" s="724"/>
      <c r="P51" s="604">
        <v>1</v>
      </c>
      <c r="Q51" s="152" t="str">
        <f t="shared" si="10"/>
        <v/>
      </c>
      <c r="R51" s="47" t="str">
        <f t="shared" si="11"/>
        <v/>
      </c>
      <c r="S51" s="47" t="str">
        <f t="shared" si="12"/>
        <v/>
      </c>
      <c r="T51" s="47" t="str">
        <f t="shared" si="16"/>
        <v/>
      </c>
      <c r="U51" s="47" t="str">
        <f t="shared" si="17"/>
        <v/>
      </c>
      <c r="V51" s="154">
        <v>8000</v>
      </c>
      <c r="W51" s="464" t="str">
        <f t="shared" si="13"/>
        <v/>
      </c>
    </row>
    <row r="52" spans="1:23" ht="17.100000000000001" customHeight="1">
      <c r="A52" s="111">
        <v>24000</v>
      </c>
      <c r="B52" s="504" t="str">
        <f>IF(C52="O","",RANK(W52,W$24:W$88,1)+COUNTIF($W$24:W52,W52)-1)</f>
        <v/>
      </c>
      <c r="C52" s="447" t="s">
        <v>243</v>
      </c>
      <c r="D52" s="353" t="s">
        <v>58</v>
      </c>
      <c r="E52" s="366">
        <v>110000</v>
      </c>
      <c r="F52" s="367">
        <v>1050</v>
      </c>
      <c r="G52" s="366">
        <v>1050</v>
      </c>
      <c r="H52" s="368" t="s">
        <v>15</v>
      </c>
      <c r="I52" s="338">
        <f t="shared" si="6"/>
        <v>24000</v>
      </c>
      <c r="J52" s="339">
        <f t="shared" si="7"/>
        <v>94600.000000000015</v>
      </c>
      <c r="K52" s="352">
        <f>IF(IF($I$8-3000&gt;0,$I$8-3000,0)+$I$9-F52&gt;0,IF($I$8-3000&gt;0,$I$8-3000,0)+$I$9-F52,0)*60*1.8*IF($N$10="O",0.65,1)</f>
        <v>0</v>
      </c>
      <c r="L52" s="292">
        <f t="shared" si="27"/>
        <v>0</v>
      </c>
      <c r="M52" s="293">
        <f t="shared" si="15"/>
        <v>94600.000000000015</v>
      </c>
      <c r="N52" s="340" t="str">
        <f t="shared" si="8"/>
        <v/>
      </c>
      <c r="O52" s="724"/>
      <c r="P52" s="604">
        <v>1</v>
      </c>
      <c r="Q52" s="152" t="str">
        <f t="shared" si="10"/>
        <v/>
      </c>
      <c r="R52" s="47" t="str">
        <f t="shared" si="11"/>
        <v/>
      </c>
      <c r="S52" s="47" t="str">
        <f t="shared" si="12"/>
        <v/>
      </c>
      <c r="T52" s="47" t="str">
        <f t="shared" si="16"/>
        <v/>
      </c>
      <c r="U52" s="47" t="str">
        <f t="shared" si="17"/>
        <v/>
      </c>
      <c r="V52" s="154">
        <v>10000</v>
      </c>
      <c r="W52" s="464" t="str">
        <f t="shared" si="13"/>
        <v/>
      </c>
    </row>
    <row r="53" spans="1:23" ht="17.100000000000001" customHeight="1" thickBot="1">
      <c r="A53" s="112">
        <v>30000</v>
      </c>
      <c r="B53" s="504" t="str">
        <f>IF(C53="O","",RANK(W53,W$24:W$88,1)+COUNTIF($W$24:W53,W53)-1)</f>
        <v/>
      </c>
      <c r="C53" s="462" t="s">
        <v>243</v>
      </c>
      <c r="D53" s="356" t="s">
        <v>46</v>
      </c>
      <c r="E53" s="369">
        <v>130000</v>
      </c>
      <c r="F53" s="370">
        <v>1250</v>
      </c>
      <c r="G53" s="369">
        <v>2500</v>
      </c>
      <c r="H53" s="371" t="s">
        <v>15</v>
      </c>
      <c r="I53" s="359">
        <f t="shared" si="6"/>
        <v>30000</v>
      </c>
      <c r="J53" s="360">
        <f t="shared" si="7"/>
        <v>110000.00000000001</v>
      </c>
      <c r="K53" s="355">
        <f>IF($I$9-F53&lt;0,0,$I$9-F53)*60*1.8*IF($N$10="O",0.65,1)</f>
        <v>0</v>
      </c>
      <c r="L53" s="323">
        <f t="shared" si="27"/>
        <v>0</v>
      </c>
      <c r="M53" s="324">
        <f t="shared" si="15"/>
        <v>110000.00000000001</v>
      </c>
      <c r="N53" s="344" t="str">
        <f t="shared" si="8"/>
        <v/>
      </c>
      <c r="O53" s="725"/>
      <c r="P53" s="604">
        <v>1</v>
      </c>
      <c r="Q53" s="152" t="str">
        <f t="shared" si="10"/>
        <v/>
      </c>
      <c r="R53" s="47" t="str">
        <f t="shared" si="11"/>
        <v/>
      </c>
      <c r="S53" s="47" t="str">
        <f t="shared" si="12"/>
        <v/>
      </c>
      <c r="T53" s="47" t="str">
        <f t="shared" si="16"/>
        <v/>
      </c>
      <c r="U53" s="47" t="str">
        <f t="shared" si="17"/>
        <v/>
      </c>
      <c r="V53" s="154">
        <v>10000</v>
      </c>
      <c r="W53" s="464" t="str">
        <f t="shared" si="13"/>
        <v/>
      </c>
    </row>
    <row r="54" spans="1:23" ht="17.100000000000001" customHeight="1">
      <c r="A54" s="250">
        <v>5000</v>
      </c>
      <c r="B54" s="504">
        <f>IF(C54="O","",RANK(W54,W$24:W$88,1)+COUNTIF($W$24:W54,W54)-1)</f>
        <v>14</v>
      </c>
      <c r="C54" s="457"/>
      <c r="D54" s="372" t="s">
        <v>194</v>
      </c>
      <c r="E54" s="373">
        <v>24000</v>
      </c>
      <c r="F54" s="374">
        <v>100</v>
      </c>
      <c r="G54" s="373">
        <v>100</v>
      </c>
      <c r="H54" s="375">
        <v>250</v>
      </c>
      <c r="I54" s="373">
        <f t="shared" si="6"/>
        <v>5000</v>
      </c>
      <c r="J54" s="364">
        <f t="shared" si="7"/>
        <v>20900</v>
      </c>
      <c r="K54" s="281">
        <f>IF(F$8&lt;F54,0,((F$8-F54)*60*1.8))*IF($N$10="O",0.65,1)</f>
        <v>22788</v>
      </c>
      <c r="L54" s="282">
        <f>IF($F$10&lt;$G54,0,($F$10-G54)*20)*IF($N$10="O",0.65,1)</f>
        <v>2020</v>
      </c>
      <c r="M54" s="283">
        <f t="shared" si="15"/>
        <v>48188.800000000003</v>
      </c>
      <c r="N54" s="350" t="str">
        <f t="shared" si="8"/>
        <v>데이터(1.75GB) 부족</v>
      </c>
      <c r="O54" s="742" t="s">
        <v>202</v>
      </c>
      <c r="P54" s="604">
        <f t="shared" ref="P54:P83" si="28">$F$11-H54</f>
        <v>1750</v>
      </c>
      <c r="Q54" s="152">
        <f t="shared" si="10"/>
        <v>14</v>
      </c>
      <c r="R54" s="47">
        <f t="shared" ref="R54:R59" si="29">IF(B54=SMALL($B$54:$B$59,1),B54,"")</f>
        <v>14</v>
      </c>
      <c r="S54" s="47" t="str">
        <f t="shared" si="12"/>
        <v/>
      </c>
      <c r="T54" s="47" t="str">
        <f>IF(S54="","",IF(S54=SMALL($S$54:$S$59,1),S54,""))</f>
        <v/>
      </c>
      <c r="U54" s="47">
        <f t="shared" si="17"/>
        <v>14</v>
      </c>
      <c r="V54" s="154">
        <v>3000</v>
      </c>
      <c r="W54" s="464">
        <f t="shared" si="13"/>
        <v>48188.800000000003</v>
      </c>
    </row>
    <row r="55" spans="1:23" ht="17.100000000000001" customHeight="1">
      <c r="A55" s="250">
        <v>5000</v>
      </c>
      <c r="B55" s="504">
        <f>IF(C55="O","",RANK(W55,W$24:W$88,1)+COUNTIF($W$24:W55,W55)-1)</f>
        <v>27</v>
      </c>
      <c r="C55" s="448"/>
      <c r="D55" s="376" t="s">
        <v>194</v>
      </c>
      <c r="E55" s="366">
        <v>30000</v>
      </c>
      <c r="F55" s="367">
        <v>100</v>
      </c>
      <c r="G55" s="366">
        <v>100</v>
      </c>
      <c r="H55" s="377">
        <v>1000</v>
      </c>
      <c r="I55" s="366">
        <f t="shared" si="6"/>
        <v>5000</v>
      </c>
      <c r="J55" s="339">
        <f t="shared" si="7"/>
        <v>27500.000000000004</v>
      </c>
      <c r="K55" s="291">
        <f t="shared" ref="K55:K77" si="30">IF(F$8&lt;F55,0,((F$8-F55)*60*1.8))*IF($N$10="O",0.65,1)</f>
        <v>22788</v>
      </c>
      <c r="L55" s="292">
        <f t="shared" ref="L55:L77" si="31">IF($F$10&lt;$G55,0,($F$10-G55)*20)*IF($N$10="O",0.65,1)</f>
        <v>2020</v>
      </c>
      <c r="M55" s="293">
        <f t="shared" si="15"/>
        <v>54788.800000000003</v>
      </c>
      <c r="N55" s="340" t="str">
        <f t="shared" si="8"/>
        <v>데이터(1GB) 부족</v>
      </c>
      <c r="O55" s="743"/>
      <c r="P55" s="604">
        <f t="shared" si="28"/>
        <v>1000</v>
      </c>
      <c r="Q55" s="152">
        <f t="shared" si="10"/>
        <v>27</v>
      </c>
      <c r="R55" s="47" t="str">
        <f t="shared" si="29"/>
        <v/>
      </c>
      <c r="S55" s="47" t="str">
        <f t="shared" si="12"/>
        <v/>
      </c>
      <c r="T55" s="47" t="str">
        <f t="shared" ref="T55:T59" si="32">IF(S55="","",IF(S55=SMALL($S$54:$S$59,1),S55,""))</f>
        <v/>
      </c>
      <c r="U55" s="47">
        <f t="shared" si="17"/>
        <v>27</v>
      </c>
      <c r="V55" s="154">
        <v>3000</v>
      </c>
      <c r="W55" s="464">
        <f t="shared" si="13"/>
        <v>54788.800000000003</v>
      </c>
    </row>
    <row r="56" spans="1:23" ht="17.100000000000001" customHeight="1">
      <c r="A56" s="147">
        <v>7000</v>
      </c>
      <c r="B56" s="504">
        <f>IF(C56="O","",RANK(W56,W$24:W$88,1)+COUNTIF($W$24:W56,W56)-1)</f>
        <v>33</v>
      </c>
      <c r="C56" s="449"/>
      <c r="D56" s="376" t="s">
        <v>193</v>
      </c>
      <c r="E56" s="366">
        <v>35000</v>
      </c>
      <c r="F56" s="367">
        <v>100</v>
      </c>
      <c r="G56" s="366">
        <v>100</v>
      </c>
      <c r="H56" s="378">
        <v>2000</v>
      </c>
      <c r="I56" s="366">
        <f t="shared" si="6"/>
        <v>7000</v>
      </c>
      <c r="J56" s="339">
        <f t="shared" si="7"/>
        <v>30800.000000000004</v>
      </c>
      <c r="K56" s="291">
        <f t="shared" si="30"/>
        <v>22788</v>
      </c>
      <c r="L56" s="292">
        <f t="shared" si="31"/>
        <v>2020</v>
      </c>
      <c r="M56" s="293">
        <f t="shared" si="15"/>
        <v>58088.800000000003</v>
      </c>
      <c r="N56" s="340" t="str">
        <f t="shared" si="8"/>
        <v/>
      </c>
      <c r="O56" s="743"/>
      <c r="P56" s="604">
        <f t="shared" si="28"/>
        <v>0</v>
      </c>
      <c r="Q56" s="152">
        <f t="shared" si="10"/>
        <v>33</v>
      </c>
      <c r="R56" s="47" t="str">
        <f t="shared" si="29"/>
        <v/>
      </c>
      <c r="S56" s="47">
        <f t="shared" si="12"/>
        <v>33</v>
      </c>
      <c r="T56" s="47">
        <f t="shared" si="32"/>
        <v>33</v>
      </c>
      <c r="U56" s="47">
        <f t="shared" si="17"/>
        <v>33</v>
      </c>
      <c r="V56" s="600">
        <v>3000</v>
      </c>
      <c r="W56" s="464">
        <f t="shared" si="13"/>
        <v>58088.800000000003</v>
      </c>
    </row>
    <row r="57" spans="1:23" ht="16.5" customHeight="1">
      <c r="A57" s="147">
        <v>7000</v>
      </c>
      <c r="B57" s="504">
        <f>IF(C57="O","",RANK(W57,W$24:W$88,1)+COUNTIF($W$24:W57,W57)-1)</f>
        <v>40</v>
      </c>
      <c r="C57" s="449"/>
      <c r="D57" s="379" t="s">
        <v>193</v>
      </c>
      <c r="E57" s="380">
        <v>41000</v>
      </c>
      <c r="F57" s="381">
        <v>100</v>
      </c>
      <c r="G57" s="380">
        <v>100</v>
      </c>
      <c r="H57" s="382">
        <v>3000</v>
      </c>
      <c r="I57" s="380">
        <f t="shared" si="6"/>
        <v>7000</v>
      </c>
      <c r="J57" s="383">
        <f t="shared" si="7"/>
        <v>37400</v>
      </c>
      <c r="K57" s="384">
        <f t="shared" si="30"/>
        <v>22788</v>
      </c>
      <c r="L57" s="385">
        <f t="shared" si="31"/>
        <v>2020</v>
      </c>
      <c r="M57" s="386">
        <f t="shared" si="15"/>
        <v>64688.800000000003</v>
      </c>
      <c r="N57" s="387" t="str">
        <f t="shared" si="8"/>
        <v/>
      </c>
      <c r="O57" s="743"/>
      <c r="P57" s="604">
        <f t="shared" si="28"/>
        <v>-1000</v>
      </c>
      <c r="Q57" s="152">
        <f t="shared" si="10"/>
        <v>40</v>
      </c>
      <c r="R57" s="47" t="str">
        <f t="shared" si="29"/>
        <v/>
      </c>
      <c r="S57" s="47">
        <f t="shared" si="12"/>
        <v>40</v>
      </c>
      <c r="T57" s="47" t="str">
        <f t="shared" si="32"/>
        <v/>
      </c>
      <c r="U57" s="47">
        <f t="shared" si="17"/>
        <v>40</v>
      </c>
      <c r="V57" s="600">
        <v>3000</v>
      </c>
      <c r="W57" s="464">
        <f t="shared" si="13"/>
        <v>64688.800000000003</v>
      </c>
    </row>
    <row r="58" spans="1:23" ht="17.100000000000001" customHeight="1">
      <c r="A58" s="147">
        <v>11000</v>
      </c>
      <c r="B58" s="504">
        <f>IF(C58="O","",RANK(W58,W$24:W$88,1)+COUNTIF($W$24:W58,W58)-1)</f>
        <v>45</v>
      </c>
      <c r="C58" s="449"/>
      <c r="D58" s="376" t="s">
        <v>193</v>
      </c>
      <c r="E58" s="366">
        <v>48500</v>
      </c>
      <c r="F58" s="367">
        <v>100</v>
      </c>
      <c r="G58" s="366">
        <v>100</v>
      </c>
      <c r="H58" s="378">
        <v>6000</v>
      </c>
      <c r="I58" s="366">
        <f t="shared" si="6"/>
        <v>11000</v>
      </c>
      <c r="J58" s="339">
        <f t="shared" si="7"/>
        <v>41250</v>
      </c>
      <c r="K58" s="291">
        <f t="shared" si="30"/>
        <v>22788</v>
      </c>
      <c r="L58" s="292">
        <f t="shared" si="31"/>
        <v>2020</v>
      </c>
      <c r="M58" s="293">
        <f t="shared" si="15"/>
        <v>68538.8</v>
      </c>
      <c r="N58" s="340" t="str">
        <f t="shared" si="8"/>
        <v/>
      </c>
      <c r="O58" s="743"/>
      <c r="P58" s="604">
        <f t="shared" si="28"/>
        <v>-4000</v>
      </c>
      <c r="Q58" s="152">
        <f t="shared" si="10"/>
        <v>45</v>
      </c>
      <c r="R58" s="47" t="str">
        <f t="shared" si="29"/>
        <v/>
      </c>
      <c r="S58" s="47">
        <f t="shared" si="12"/>
        <v>45</v>
      </c>
      <c r="T58" s="47" t="str">
        <f t="shared" si="32"/>
        <v/>
      </c>
      <c r="U58" s="47">
        <f t="shared" si="17"/>
        <v>45</v>
      </c>
      <c r="V58" s="600">
        <v>3000</v>
      </c>
      <c r="W58" s="464">
        <f t="shared" si="13"/>
        <v>68538.8</v>
      </c>
    </row>
    <row r="59" spans="1:23" ht="17.100000000000001" customHeight="1" thickBot="1">
      <c r="A59" s="147">
        <v>14000</v>
      </c>
      <c r="B59" s="504">
        <f>IF(C59="O","",RANK(W59,W$24:W$88,1)+COUNTIF($W$24:W59,W59)-1)</f>
        <v>49</v>
      </c>
      <c r="C59" s="454"/>
      <c r="D59" s="388" t="s">
        <v>193</v>
      </c>
      <c r="E59" s="389">
        <v>55500</v>
      </c>
      <c r="F59" s="390">
        <v>100</v>
      </c>
      <c r="G59" s="389">
        <v>100</v>
      </c>
      <c r="H59" s="391">
        <v>10000</v>
      </c>
      <c r="I59" s="389">
        <f t="shared" si="6"/>
        <v>14000</v>
      </c>
      <c r="J59" s="392">
        <f t="shared" si="7"/>
        <v>45650.000000000007</v>
      </c>
      <c r="K59" s="393">
        <f t="shared" si="30"/>
        <v>22788</v>
      </c>
      <c r="L59" s="394">
        <f t="shared" si="31"/>
        <v>2020</v>
      </c>
      <c r="M59" s="395">
        <f t="shared" si="15"/>
        <v>72938.800000000017</v>
      </c>
      <c r="N59" s="396" t="str">
        <f t="shared" si="8"/>
        <v/>
      </c>
      <c r="O59" s="744"/>
      <c r="P59" s="604">
        <f t="shared" si="28"/>
        <v>-8000</v>
      </c>
      <c r="Q59" s="152">
        <f t="shared" si="10"/>
        <v>49</v>
      </c>
      <c r="R59" s="47" t="str">
        <f t="shared" si="29"/>
        <v/>
      </c>
      <c r="S59" s="47">
        <f t="shared" si="12"/>
        <v>49</v>
      </c>
      <c r="T59" s="47" t="str">
        <f t="shared" si="32"/>
        <v/>
      </c>
      <c r="U59" s="47">
        <f t="shared" si="17"/>
        <v>49</v>
      </c>
      <c r="V59" s="600">
        <v>5000</v>
      </c>
      <c r="W59" s="464">
        <f t="shared" si="13"/>
        <v>72938.800000000017</v>
      </c>
    </row>
    <row r="60" spans="1:23" ht="17.100000000000001" customHeight="1">
      <c r="A60" s="147">
        <v>5000</v>
      </c>
      <c r="B60" s="504">
        <f>IF(C60="O","",RANK(W60,W$24:W$88,1)+COUNTIF($W$24:W60,W60)-1)</f>
        <v>8</v>
      </c>
      <c r="C60" s="463"/>
      <c r="D60" s="372" t="s">
        <v>195</v>
      </c>
      <c r="E60" s="373">
        <v>32000</v>
      </c>
      <c r="F60" s="374">
        <v>180</v>
      </c>
      <c r="G60" s="373">
        <v>180</v>
      </c>
      <c r="H60" s="375">
        <v>250</v>
      </c>
      <c r="I60" s="373">
        <f t="shared" si="6"/>
        <v>5000</v>
      </c>
      <c r="J60" s="364">
        <f t="shared" si="7"/>
        <v>29700.000000000004</v>
      </c>
      <c r="K60" s="281">
        <f t="shared" si="30"/>
        <v>14148</v>
      </c>
      <c r="L60" s="282">
        <f t="shared" si="31"/>
        <v>420</v>
      </c>
      <c r="M60" s="283">
        <f t="shared" si="15"/>
        <v>45724.800000000003</v>
      </c>
      <c r="N60" s="350" t="str">
        <f t="shared" si="8"/>
        <v>데이터(1.75GB) 부족</v>
      </c>
      <c r="O60" s="742" t="s">
        <v>203</v>
      </c>
      <c r="P60" s="604">
        <f t="shared" si="28"/>
        <v>1750</v>
      </c>
      <c r="Q60" s="152">
        <f t="shared" si="10"/>
        <v>8</v>
      </c>
      <c r="R60" s="47">
        <f t="shared" ref="R60:R65" si="33">IF(B60=SMALL($B$60:$B$65,1),B60,"")</f>
        <v>8</v>
      </c>
      <c r="S60" s="47" t="str">
        <f t="shared" si="12"/>
        <v/>
      </c>
      <c r="T60" s="47" t="str">
        <f>IF(S60="","",IF(S60=SMALL($S$60:$S$65,1),S60,""))</f>
        <v/>
      </c>
      <c r="U60" s="47">
        <f t="shared" si="17"/>
        <v>8</v>
      </c>
      <c r="V60" s="600">
        <v>3000</v>
      </c>
      <c r="W60" s="464">
        <f t="shared" si="13"/>
        <v>45724.800000000003</v>
      </c>
    </row>
    <row r="61" spans="1:23" ht="17.100000000000001" customHeight="1">
      <c r="A61" s="147">
        <v>7000</v>
      </c>
      <c r="B61" s="504">
        <f>IF(C61="O","",RANK(W61,W$24:W$88,1)+COUNTIF($W$24:W61,W61)-1)</f>
        <v>13</v>
      </c>
      <c r="C61" s="449"/>
      <c r="D61" s="379" t="s">
        <v>196</v>
      </c>
      <c r="E61" s="380">
        <v>36000</v>
      </c>
      <c r="F61" s="381">
        <v>180</v>
      </c>
      <c r="G61" s="380">
        <v>180</v>
      </c>
      <c r="H61" s="397">
        <v>1000</v>
      </c>
      <c r="I61" s="380">
        <f t="shared" si="6"/>
        <v>7000</v>
      </c>
      <c r="J61" s="383">
        <f t="shared" si="7"/>
        <v>31900.000000000004</v>
      </c>
      <c r="K61" s="384">
        <f t="shared" si="30"/>
        <v>14148</v>
      </c>
      <c r="L61" s="385">
        <f t="shared" si="31"/>
        <v>420</v>
      </c>
      <c r="M61" s="386">
        <f t="shared" si="15"/>
        <v>47924.800000000003</v>
      </c>
      <c r="N61" s="387" t="str">
        <f t="shared" si="8"/>
        <v>데이터(1GB) 부족</v>
      </c>
      <c r="O61" s="743"/>
      <c r="P61" s="604">
        <f t="shared" si="28"/>
        <v>1000</v>
      </c>
      <c r="Q61" s="152">
        <f t="shared" si="10"/>
        <v>13</v>
      </c>
      <c r="R61" s="47" t="str">
        <f t="shared" si="33"/>
        <v/>
      </c>
      <c r="S61" s="47" t="str">
        <f t="shared" si="12"/>
        <v/>
      </c>
      <c r="T61" s="47" t="str">
        <f t="shared" ref="T61:T65" si="34">IF(S61="","",IF(S61=SMALL($S$60:$S$65,1),S61,""))</f>
        <v/>
      </c>
      <c r="U61" s="47">
        <f t="shared" si="17"/>
        <v>13</v>
      </c>
      <c r="V61" s="600">
        <v>3000</v>
      </c>
      <c r="W61" s="464">
        <f t="shared" si="13"/>
        <v>47924.800000000003</v>
      </c>
    </row>
    <row r="62" spans="1:23" ht="17.100000000000001" customHeight="1">
      <c r="A62" s="147">
        <v>11000</v>
      </c>
      <c r="B62" s="504">
        <f>IF(C62="O","",RANK(W62,W$24:W$88,1)+COUNTIF($W$24:W62,W62)-1)</f>
        <v>22</v>
      </c>
      <c r="C62" s="449"/>
      <c r="D62" s="376" t="s">
        <v>196</v>
      </c>
      <c r="E62" s="366">
        <v>45000</v>
      </c>
      <c r="F62" s="367">
        <v>180</v>
      </c>
      <c r="G62" s="366">
        <v>180</v>
      </c>
      <c r="H62" s="378">
        <v>2000</v>
      </c>
      <c r="I62" s="366">
        <f t="shared" si="6"/>
        <v>11000</v>
      </c>
      <c r="J62" s="339">
        <f t="shared" si="7"/>
        <v>37400</v>
      </c>
      <c r="K62" s="291">
        <f t="shared" si="30"/>
        <v>14148</v>
      </c>
      <c r="L62" s="292">
        <f t="shared" si="31"/>
        <v>420</v>
      </c>
      <c r="M62" s="293">
        <f t="shared" si="15"/>
        <v>53424.800000000003</v>
      </c>
      <c r="N62" s="340" t="str">
        <f t="shared" si="8"/>
        <v/>
      </c>
      <c r="O62" s="743"/>
      <c r="P62" s="604">
        <f t="shared" si="28"/>
        <v>0</v>
      </c>
      <c r="Q62" s="152">
        <f t="shared" si="10"/>
        <v>22</v>
      </c>
      <c r="R62" s="47" t="str">
        <f t="shared" si="33"/>
        <v/>
      </c>
      <c r="S62" s="47">
        <f t="shared" si="12"/>
        <v>22</v>
      </c>
      <c r="T62" s="47">
        <f t="shared" si="34"/>
        <v>22</v>
      </c>
      <c r="U62" s="47">
        <f t="shared" si="17"/>
        <v>22</v>
      </c>
      <c r="V62" s="600">
        <v>3000</v>
      </c>
      <c r="W62" s="464">
        <f t="shared" si="13"/>
        <v>53424.800000000003</v>
      </c>
    </row>
    <row r="63" spans="1:23" ht="17.100000000000001" customHeight="1">
      <c r="A63" s="147">
        <v>14000</v>
      </c>
      <c r="B63" s="504">
        <f>IF(C63="O","",RANK(W63,W$24:W$88,1)+COUNTIF($W$24:W63,W63)-1)</f>
        <v>32</v>
      </c>
      <c r="C63" s="449"/>
      <c r="D63" s="379" t="s">
        <v>195</v>
      </c>
      <c r="E63" s="380">
        <v>52000</v>
      </c>
      <c r="F63" s="381">
        <v>180</v>
      </c>
      <c r="G63" s="380">
        <v>180</v>
      </c>
      <c r="H63" s="382">
        <v>3000</v>
      </c>
      <c r="I63" s="380">
        <f t="shared" si="6"/>
        <v>14000</v>
      </c>
      <c r="J63" s="383">
        <f t="shared" si="7"/>
        <v>41800</v>
      </c>
      <c r="K63" s="384">
        <f t="shared" si="30"/>
        <v>14148</v>
      </c>
      <c r="L63" s="385">
        <f t="shared" si="31"/>
        <v>420</v>
      </c>
      <c r="M63" s="386">
        <f t="shared" si="15"/>
        <v>57824.800000000003</v>
      </c>
      <c r="N63" s="387" t="str">
        <f t="shared" si="8"/>
        <v/>
      </c>
      <c r="O63" s="743"/>
      <c r="P63" s="604">
        <f t="shared" si="28"/>
        <v>-1000</v>
      </c>
      <c r="Q63" s="152">
        <f t="shared" si="10"/>
        <v>32</v>
      </c>
      <c r="R63" s="47" t="str">
        <f t="shared" si="33"/>
        <v/>
      </c>
      <c r="S63" s="47">
        <f t="shared" si="12"/>
        <v>32</v>
      </c>
      <c r="T63" s="47" t="str">
        <f t="shared" si="34"/>
        <v/>
      </c>
      <c r="U63" s="47">
        <f t="shared" si="17"/>
        <v>32</v>
      </c>
      <c r="V63" s="600">
        <v>5000</v>
      </c>
      <c r="W63" s="464">
        <f t="shared" si="13"/>
        <v>57824.800000000003</v>
      </c>
    </row>
    <row r="64" spans="1:23" ht="17.100000000000001" customHeight="1">
      <c r="A64" s="147">
        <v>14000</v>
      </c>
      <c r="B64" s="504">
        <f>IF(C64="O","",RANK(W64,W$24:W$88,1)+COUNTIF($W$24:W64,W64)-1)</f>
        <v>36</v>
      </c>
      <c r="C64" s="449"/>
      <c r="D64" s="376" t="s">
        <v>195</v>
      </c>
      <c r="E64" s="366">
        <v>56000</v>
      </c>
      <c r="F64" s="367">
        <v>180</v>
      </c>
      <c r="G64" s="366">
        <v>180</v>
      </c>
      <c r="H64" s="378">
        <v>6000</v>
      </c>
      <c r="I64" s="366">
        <f t="shared" si="6"/>
        <v>14000</v>
      </c>
      <c r="J64" s="339">
        <f t="shared" si="7"/>
        <v>46200.000000000007</v>
      </c>
      <c r="K64" s="291">
        <f t="shared" si="30"/>
        <v>14148</v>
      </c>
      <c r="L64" s="292">
        <f t="shared" si="31"/>
        <v>420</v>
      </c>
      <c r="M64" s="293">
        <f t="shared" si="15"/>
        <v>62224.80000000001</v>
      </c>
      <c r="N64" s="340" t="str">
        <f t="shared" si="8"/>
        <v/>
      </c>
      <c r="O64" s="743"/>
      <c r="P64" s="604">
        <f t="shared" si="28"/>
        <v>-4000</v>
      </c>
      <c r="Q64" s="152">
        <f t="shared" si="10"/>
        <v>36</v>
      </c>
      <c r="R64" s="47" t="str">
        <f t="shared" si="33"/>
        <v/>
      </c>
      <c r="S64" s="47">
        <f t="shared" si="12"/>
        <v>36</v>
      </c>
      <c r="T64" s="47" t="str">
        <f t="shared" si="34"/>
        <v/>
      </c>
      <c r="U64" s="47">
        <f t="shared" si="17"/>
        <v>36</v>
      </c>
      <c r="V64" s="600">
        <v>5000</v>
      </c>
      <c r="W64" s="464">
        <f t="shared" si="13"/>
        <v>62224.80000000001</v>
      </c>
    </row>
    <row r="65" spans="1:23" ht="17.100000000000001" customHeight="1" thickBot="1">
      <c r="A65" s="147">
        <v>16000</v>
      </c>
      <c r="B65" s="504">
        <f>IF(C65="O","",RANK(W65,W$24:W$88,1)+COUNTIF($W$24:W65,W65)-1)</f>
        <v>43</v>
      </c>
      <c r="C65" s="450"/>
      <c r="D65" s="388" t="s">
        <v>195</v>
      </c>
      <c r="E65" s="389">
        <v>62000</v>
      </c>
      <c r="F65" s="390">
        <v>180</v>
      </c>
      <c r="G65" s="389">
        <v>180</v>
      </c>
      <c r="H65" s="391">
        <v>10000</v>
      </c>
      <c r="I65" s="389">
        <f t="shared" si="6"/>
        <v>16000</v>
      </c>
      <c r="J65" s="392">
        <f t="shared" si="7"/>
        <v>50600.000000000007</v>
      </c>
      <c r="K65" s="393">
        <f t="shared" si="30"/>
        <v>14148</v>
      </c>
      <c r="L65" s="394">
        <f t="shared" si="31"/>
        <v>420</v>
      </c>
      <c r="M65" s="395">
        <f t="shared" si="15"/>
        <v>66624.800000000003</v>
      </c>
      <c r="N65" s="396" t="str">
        <f t="shared" si="8"/>
        <v/>
      </c>
      <c r="O65" s="744"/>
      <c r="P65" s="604">
        <f t="shared" si="28"/>
        <v>-8000</v>
      </c>
      <c r="Q65" s="152">
        <f t="shared" si="10"/>
        <v>43</v>
      </c>
      <c r="R65" s="47" t="str">
        <f t="shared" si="33"/>
        <v/>
      </c>
      <c r="S65" s="47">
        <f t="shared" si="12"/>
        <v>43</v>
      </c>
      <c r="T65" s="47" t="str">
        <f t="shared" si="34"/>
        <v/>
      </c>
      <c r="U65" s="47">
        <f t="shared" si="17"/>
        <v>43</v>
      </c>
      <c r="V65" s="600">
        <v>5000</v>
      </c>
      <c r="W65" s="464">
        <f t="shared" si="13"/>
        <v>66624.800000000003</v>
      </c>
    </row>
    <row r="66" spans="1:23" ht="17.100000000000001" customHeight="1">
      <c r="A66" s="147">
        <v>11000</v>
      </c>
      <c r="B66" s="504">
        <f>IF(C66="O","",RANK(W66,W$24:W$88,1)+COUNTIF($W$24:W66,W66)-1)</f>
        <v>1</v>
      </c>
      <c r="C66" s="458"/>
      <c r="D66" s="372" t="s">
        <v>197</v>
      </c>
      <c r="E66" s="373">
        <v>45000</v>
      </c>
      <c r="F66" s="374">
        <v>300</v>
      </c>
      <c r="G66" s="373">
        <v>300</v>
      </c>
      <c r="H66" s="375">
        <v>250</v>
      </c>
      <c r="I66" s="373">
        <f t="shared" si="6"/>
        <v>11000</v>
      </c>
      <c r="J66" s="364">
        <f t="shared" si="7"/>
        <v>37400</v>
      </c>
      <c r="K66" s="281">
        <f t="shared" si="30"/>
        <v>1188</v>
      </c>
      <c r="L66" s="282">
        <f t="shared" si="31"/>
        <v>0</v>
      </c>
      <c r="M66" s="283">
        <f t="shared" si="15"/>
        <v>38706.800000000003</v>
      </c>
      <c r="N66" s="350" t="str">
        <f t="shared" si="8"/>
        <v>데이터(1.75GB) 부족</v>
      </c>
      <c r="O66" s="742" t="s">
        <v>204</v>
      </c>
      <c r="P66" s="604">
        <f t="shared" si="28"/>
        <v>1750</v>
      </c>
      <c r="Q66" s="152">
        <f t="shared" si="10"/>
        <v>1</v>
      </c>
      <c r="R66" s="47">
        <f t="shared" ref="R66:R71" si="35">IF(B66=SMALL($B$66:$B$71,1),B66,"")</f>
        <v>1</v>
      </c>
      <c r="S66" s="47" t="str">
        <f t="shared" si="12"/>
        <v/>
      </c>
      <c r="T66" s="47" t="str">
        <f>IF(S66="","",IF(S66=SMALL($S$66:$S$71,1),S66,""))</f>
        <v/>
      </c>
      <c r="U66" s="47">
        <f t="shared" si="17"/>
        <v>1</v>
      </c>
      <c r="V66" s="600">
        <v>3000</v>
      </c>
      <c r="W66" s="464">
        <f t="shared" si="13"/>
        <v>38706.800000000003</v>
      </c>
    </row>
    <row r="67" spans="1:23" ht="17.100000000000001" customHeight="1">
      <c r="A67" s="147">
        <v>11000</v>
      </c>
      <c r="B67" s="504">
        <f>IF(C67="O","",RANK(W67,W$24:W$88,1)+COUNTIF($W$24:W67,W67)-1)</f>
        <v>4</v>
      </c>
      <c r="C67" s="449"/>
      <c r="D67" s="379" t="s">
        <v>197</v>
      </c>
      <c r="E67" s="380">
        <v>49000</v>
      </c>
      <c r="F67" s="381">
        <v>300</v>
      </c>
      <c r="G67" s="380">
        <v>300</v>
      </c>
      <c r="H67" s="397">
        <v>1000</v>
      </c>
      <c r="I67" s="380">
        <f t="shared" si="6"/>
        <v>11000</v>
      </c>
      <c r="J67" s="383">
        <f t="shared" si="7"/>
        <v>41800</v>
      </c>
      <c r="K67" s="384">
        <f t="shared" si="30"/>
        <v>1188</v>
      </c>
      <c r="L67" s="385">
        <f t="shared" si="31"/>
        <v>0</v>
      </c>
      <c r="M67" s="386">
        <f t="shared" si="15"/>
        <v>43106.8</v>
      </c>
      <c r="N67" s="387" t="str">
        <f t="shared" si="8"/>
        <v>데이터(1GB) 부족</v>
      </c>
      <c r="O67" s="743"/>
      <c r="P67" s="604">
        <f t="shared" si="28"/>
        <v>1000</v>
      </c>
      <c r="Q67" s="152">
        <f t="shared" si="10"/>
        <v>4</v>
      </c>
      <c r="R67" s="47" t="str">
        <f t="shared" si="35"/>
        <v/>
      </c>
      <c r="S67" s="47" t="str">
        <f t="shared" si="12"/>
        <v/>
      </c>
      <c r="T67" s="47" t="str">
        <f t="shared" ref="T67:T71" si="36">IF(S67="","",IF(S67=SMALL($S$66:$S$71,1),S67,""))</f>
        <v/>
      </c>
      <c r="U67" s="47">
        <f t="shared" si="17"/>
        <v>4</v>
      </c>
      <c r="V67" s="600">
        <v>3000</v>
      </c>
      <c r="W67" s="464">
        <f t="shared" si="13"/>
        <v>43106.8</v>
      </c>
    </row>
    <row r="68" spans="1:23" ht="17.100000000000001" customHeight="1">
      <c r="A68" s="147">
        <v>14000</v>
      </c>
      <c r="B68" s="504">
        <f>IF(C68="O","",RANK(W68,W$24:W$88,1)+COUNTIF($W$24:W68,W68)-1)</f>
        <v>9</v>
      </c>
      <c r="C68" s="449"/>
      <c r="D68" s="376" t="s">
        <v>198</v>
      </c>
      <c r="E68" s="366">
        <v>55000</v>
      </c>
      <c r="F68" s="367">
        <v>300</v>
      </c>
      <c r="G68" s="366">
        <v>300</v>
      </c>
      <c r="H68" s="378">
        <v>2000</v>
      </c>
      <c r="I68" s="366">
        <f t="shared" si="6"/>
        <v>14000</v>
      </c>
      <c r="J68" s="339">
        <f t="shared" si="7"/>
        <v>45100.000000000007</v>
      </c>
      <c r="K68" s="291">
        <f t="shared" si="30"/>
        <v>1188</v>
      </c>
      <c r="L68" s="292">
        <f t="shared" si="31"/>
        <v>0</v>
      </c>
      <c r="M68" s="293">
        <f t="shared" si="15"/>
        <v>46406.80000000001</v>
      </c>
      <c r="N68" s="340" t="str">
        <f t="shared" si="8"/>
        <v/>
      </c>
      <c r="O68" s="743"/>
      <c r="P68" s="604">
        <f t="shared" si="28"/>
        <v>0</v>
      </c>
      <c r="Q68" s="152">
        <f t="shared" si="10"/>
        <v>9</v>
      </c>
      <c r="R68" s="47" t="str">
        <f t="shared" si="35"/>
        <v/>
      </c>
      <c r="S68" s="47">
        <f t="shared" si="12"/>
        <v>9</v>
      </c>
      <c r="T68" s="47">
        <f t="shared" si="36"/>
        <v>9</v>
      </c>
      <c r="U68" s="47">
        <f t="shared" si="17"/>
        <v>9</v>
      </c>
      <c r="V68" s="600">
        <v>5000</v>
      </c>
      <c r="W68" s="464">
        <f t="shared" si="13"/>
        <v>46406.80000000001</v>
      </c>
    </row>
    <row r="69" spans="1:23" ht="17.100000000000001" customHeight="1">
      <c r="A69" s="147">
        <v>14000</v>
      </c>
      <c r="B69" s="504">
        <f>IF(C69="O","",RANK(W69,W$24:W$88,1)+COUNTIF($W$24:W69,W69)-1)</f>
        <v>11</v>
      </c>
      <c r="C69" s="449"/>
      <c r="D69" s="379" t="s">
        <v>198</v>
      </c>
      <c r="E69" s="380">
        <v>56000</v>
      </c>
      <c r="F69" s="381">
        <v>300</v>
      </c>
      <c r="G69" s="380">
        <v>300</v>
      </c>
      <c r="H69" s="382">
        <v>3000</v>
      </c>
      <c r="I69" s="380">
        <f t="shared" si="6"/>
        <v>14000</v>
      </c>
      <c r="J69" s="383">
        <f t="shared" si="7"/>
        <v>46200.000000000007</v>
      </c>
      <c r="K69" s="384">
        <f t="shared" si="30"/>
        <v>1188</v>
      </c>
      <c r="L69" s="385">
        <f t="shared" si="31"/>
        <v>0</v>
      </c>
      <c r="M69" s="386">
        <f t="shared" si="15"/>
        <v>47506.80000000001</v>
      </c>
      <c r="N69" s="387" t="str">
        <f t="shared" si="8"/>
        <v/>
      </c>
      <c r="O69" s="743"/>
      <c r="P69" s="604">
        <f t="shared" si="28"/>
        <v>-1000</v>
      </c>
      <c r="Q69" s="152">
        <f t="shared" si="10"/>
        <v>11</v>
      </c>
      <c r="R69" s="47" t="str">
        <f t="shared" si="35"/>
        <v/>
      </c>
      <c r="S69" s="47">
        <f t="shared" si="12"/>
        <v>11</v>
      </c>
      <c r="T69" s="47" t="str">
        <f t="shared" si="36"/>
        <v/>
      </c>
      <c r="U69" s="47">
        <f t="shared" si="17"/>
        <v>11</v>
      </c>
      <c r="V69" s="600">
        <v>5000</v>
      </c>
      <c r="W69" s="464">
        <f t="shared" si="13"/>
        <v>47506.80000000001</v>
      </c>
    </row>
    <row r="70" spans="1:23" ht="17.100000000000001" customHeight="1">
      <c r="A70" s="147">
        <v>14000</v>
      </c>
      <c r="B70" s="504">
        <f>IF(C70="O","",RANK(W70,W$24:W$88,1)+COUNTIF($W$24:W70,W70)-1)</f>
        <v>18</v>
      </c>
      <c r="C70" s="449"/>
      <c r="D70" s="376" t="s">
        <v>197</v>
      </c>
      <c r="E70" s="366">
        <v>59000</v>
      </c>
      <c r="F70" s="367">
        <v>300</v>
      </c>
      <c r="G70" s="366">
        <v>300</v>
      </c>
      <c r="H70" s="378">
        <v>6000</v>
      </c>
      <c r="I70" s="366">
        <f t="shared" si="6"/>
        <v>14000</v>
      </c>
      <c r="J70" s="339">
        <f t="shared" si="7"/>
        <v>49500.000000000007</v>
      </c>
      <c r="K70" s="291">
        <f t="shared" si="30"/>
        <v>1188</v>
      </c>
      <c r="L70" s="292">
        <f t="shared" si="31"/>
        <v>0</v>
      </c>
      <c r="M70" s="293">
        <f t="shared" si="15"/>
        <v>50806.80000000001</v>
      </c>
      <c r="N70" s="340" t="str">
        <f t="shared" si="8"/>
        <v/>
      </c>
      <c r="O70" s="743"/>
      <c r="P70" s="604">
        <f t="shared" si="28"/>
        <v>-4000</v>
      </c>
      <c r="Q70" s="152">
        <f t="shared" si="10"/>
        <v>18</v>
      </c>
      <c r="R70" s="47" t="str">
        <f t="shared" si="35"/>
        <v/>
      </c>
      <c r="S70" s="47">
        <f t="shared" si="12"/>
        <v>18</v>
      </c>
      <c r="T70" s="47" t="str">
        <f t="shared" si="36"/>
        <v/>
      </c>
      <c r="U70" s="47">
        <f t="shared" si="17"/>
        <v>18</v>
      </c>
      <c r="V70" s="600">
        <v>5000</v>
      </c>
      <c r="W70" s="464">
        <f t="shared" si="13"/>
        <v>50806.80000000001</v>
      </c>
    </row>
    <row r="71" spans="1:23" ht="17.100000000000001" customHeight="1" thickBot="1">
      <c r="A71" s="147">
        <v>16000</v>
      </c>
      <c r="B71" s="504">
        <f>IF(C71="O","",RANK(W71,W$24:W$88,1)+COUNTIF($W$24:W71,W71)-1)</f>
        <v>30</v>
      </c>
      <c r="C71" s="454"/>
      <c r="D71" s="388" t="s">
        <v>197</v>
      </c>
      <c r="E71" s="389">
        <v>65000</v>
      </c>
      <c r="F71" s="390">
        <v>300</v>
      </c>
      <c r="G71" s="389">
        <v>300</v>
      </c>
      <c r="H71" s="391">
        <v>10000</v>
      </c>
      <c r="I71" s="389">
        <f t="shared" si="6"/>
        <v>16000</v>
      </c>
      <c r="J71" s="392">
        <f t="shared" si="7"/>
        <v>53900.000000000007</v>
      </c>
      <c r="K71" s="393">
        <f t="shared" si="30"/>
        <v>1188</v>
      </c>
      <c r="L71" s="394">
        <f t="shared" si="31"/>
        <v>0</v>
      </c>
      <c r="M71" s="395">
        <f t="shared" si="15"/>
        <v>55206.80000000001</v>
      </c>
      <c r="N71" s="396" t="str">
        <f t="shared" si="8"/>
        <v/>
      </c>
      <c r="O71" s="744"/>
      <c r="P71" s="604">
        <f t="shared" si="28"/>
        <v>-8000</v>
      </c>
      <c r="Q71" s="152">
        <f t="shared" si="10"/>
        <v>30</v>
      </c>
      <c r="R71" s="47" t="str">
        <f t="shared" si="35"/>
        <v/>
      </c>
      <c r="S71" s="47">
        <f t="shared" si="12"/>
        <v>30</v>
      </c>
      <c r="T71" s="47" t="str">
        <f t="shared" si="36"/>
        <v/>
      </c>
      <c r="U71" s="47">
        <f t="shared" si="17"/>
        <v>30</v>
      </c>
      <c r="V71" s="600">
        <v>5000</v>
      </c>
      <c r="W71" s="464">
        <f t="shared" si="13"/>
        <v>55206.80000000001</v>
      </c>
    </row>
    <row r="72" spans="1:23" ht="17.100000000000001" customHeight="1">
      <c r="A72" s="147">
        <v>14000</v>
      </c>
      <c r="B72" s="504">
        <f>IF(C72="O","",RANK(W72,W$24:W$88,1)+COUNTIF($W$24:W72,W72)-1)</f>
        <v>5</v>
      </c>
      <c r="C72" s="463"/>
      <c r="D72" s="372" t="s">
        <v>199</v>
      </c>
      <c r="E72" s="373">
        <v>54500</v>
      </c>
      <c r="F72" s="374">
        <v>400</v>
      </c>
      <c r="G72" s="373">
        <v>400</v>
      </c>
      <c r="H72" s="375">
        <v>250</v>
      </c>
      <c r="I72" s="373">
        <f t="shared" si="6"/>
        <v>14000</v>
      </c>
      <c r="J72" s="364">
        <f t="shared" si="7"/>
        <v>44550</v>
      </c>
      <c r="K72" s="281">
        <f t="shared" si="30"/>
        <v>0</v>
      </c>
      <c r="L72" s="282">
        <f t="shared" si="31"/>
        <v>0</v>
      </c>
      <c r="M72" s="283">
        <f t="shared" si="15"/>
        <v>44550</v>
      </c>
      <c r="N72" s="350" t="str">
        <f t="shared" si="8"/>
        <v>데이터(1.75GB) 부족</v>
      </c>
      <c r="O72" s="742" t="s">
        <v>205</v>
      </c>
      <c r="P72" s="604">
        <f t="shared" si="28"/>
        <v>1750</v>
      </c>
      <c r="Q72" s="152">
        <f t="shared" si="10"/>
        <v>5</v>
      </c>
      <c r="R72" s="47">
        <f t="shared" ref="R72:R77" si="37">IF(B72=SMALL($B$72:$B$77,1),B72,"")</f>
        <v>5</v>
      </c>
      <c r="S72" s="47" t="str">
        <f t="shared" si="12"/>
        <v/>
      </c>
      <c r="T72" s="47" t="str">
        <f>IF(S72="","",IF(S72=SMALL($S$72:$S$77,1),S72,""))</f>
        <v/>
      </c>
      <c r="U72" s="47">
        <f t="shared" si="17"/>
        <v>5</v>
      </c>
      <c r="V72" s="600">
        <v>5000</v>
      </c>
      <c r="W72" s="464">
        <f t="shared" si="13"/>
        <v>44550</v>
      </c>
    </row>
    <row r="73" spans="1:23" ht="17.100000000000001" customHeight="1">
      <c r="A73" s="147">
        <v>14000</v>
      </c>
      <c r="B73" s="504">
        <f>IF(C73="O","",RANK(W73,W$24:W$88,1)+COUNTIF($W$24:W73,W73)-1)</f>
        <v>16</v>
      </c>
      <c r="C73" s="449"/>
      <c r="D73" s="379" t="s">
        <v>199</v>
      </c>
      <c r="E73" s="380">
        <v>59000</v>
      </c>
      <c r="F73" s="381">
        <v>400</v>
      </c>
      <c r="G73" s="380">
        <v>400</v>
      </c>
      <c r="H73" s="397">
        <v>1000</v>
      </c>
      <c r="I73" s="380">
        <f t="shared" si="6"/>
        <v>14000</v>
      </c>
      <c r="J73" s="383">
        <f t="shared" si="7"/>
        <v>49500.000000000007</v>
      </c>
      <c r="K73" s="384">
        <f t="shared" si="30"/>
        <v>0</v>
      </c>
      <c r="L73" s="385">
        <f t="shared" si="31"/>
        <v>0</v>
      </c>
      <c r="M73" s="386">
        <f t="shared" si="15"/>
        <v>49500.000000000007</v>
      </c>
      <c r="N73" s="387" t="str">
        <f t="shared" si="8"/>
        <v>데이터(1GB) 부족</v>
      </c>
      <c r="O73" s="743"/>
      <c r="P73" s="604">
        <f t="shared" si="28"/>
        <v>1000</v>
      </c>
      <c r="Q73" s="152">
        <f t="shared" si="10"/>
        <v>16</v>
      </c>
      <c r="R73" s="47" t="str">
        <f t="shared" si="37"/>
        <v/>
      </c>
      <c r="S73" s="47" t="str">
        <f t="shared" si="12"/>
        <v/>
      </c>
      <c r="T73" s="47" t="str">
        <f t="shared" ref="T73:T77" si="38">IF(S73="","",IF(S73=SMALL($S$72:$S$77,1),S73,""))</f>
        <v/>
      </c>
      <c r="U73" s="47">
        <f t="shared" si="17"/>
        <v>16</v>
      </c>
      <c r="V73" s="600">
        <v>5000</v>
      </c>
      <c r="W73" s="464">
        <f t="shared" si="13"/>
        <v>49500.000000000007</v>
      </c>
    </row>
    <row r="74" spans="1:23" ht="17.100000000000001" customHeight="1">
      <c r="A74" s="147">
        <v>16000</v>
      </c>
      <c r="B74" s="504">
        <f>IF(C74="O","",RANK(W74,W$24:W$88,1)+COUNTIF($W$24:W74,W74)-1)</f>
        <v>19</v>
      </c>
      <c r="C74" s="449"/>
      <c r="D74" s="376" t="s">
        <v>199</v>
      </c>
      <c r="E74" s="366">
        <v>63000</v>
      </c>
      <c r="F74" s="367">
        <v>400</v>
      </c>
      <c r="G74" s="366">
        <v>400</v>
      </c>
      <c r="H74" s="378">
        <v>2000</v>
      </c>
      <c r="I74" s="366">
        <f t="shared" si="6"/>
        <v>16000</v>
      </c>
      <c r="J74" s="339">
        <f t="shared" si="7"/>
        <v>51700.000000000007</v>
      </c>
      <c r="K74" s="291">
        <f t="shared" si="30"/>
        <v>0</v>
      </c>
      <c r="L74" s="292">
        <f t="shared" si="31"/>
        <v>0</v>
      </c>
      <c r="M74" s="293">
        <f t="shared" si="15"/>
        <v>51700.000000000007</v>
      </c>
      <c r="N74" s="340" t="str">
        <f t="shared" si="8"/>
        <v/>
      </c>
      <c r="O74" s="743"/>
      <c r="P74" s="604">
        <f t="shared" si="28"/>
        <v>0</v>
      </c>
      <c r="Q74" s="152">
        <f t="shared" si="10"/>
        <v>19</v>
      </c>
      <c r="R74" s="47" t="str">
        <f t="shared" si="37"/>
        <v/>
      </c>
      <c r="S74" s="47">
        <f t="shared" si="12"/>
        <v>19</v>
      </c>
      <c r="T74" s="47">
        <f t="shared" si="38"/>
        <v>19</v>
      </c>
      <c r="U74" s="47">
        <f t="shared" si="17"/>
        <v>19</v>
      </c>
      <c r="V74" s="600">
        <v>5000</v>
      </c>
      <c r="W74" s="464">
        <f t="shared" si="13"/>
        <v>51700.000000000007</v>
      </c>
    </row>
    <row r="75" spans="1:23" ht="17.100000000000001" customHeight="1">
      <c r="A75" s="147">
        <v>16000</v>
      </c>
      <c r="B75" s="504">
        <f>IF(C75="O","",RANK(W75,W$24:W$88,1)+COUNTIF($W$24:W75,W75)-1)</f>
        <v>20</v>
      </c>
      <c r="C75" s="449"/>
      <c r="D75" s="379" t="s">
        <v>200</v>
      </c>
      <c r="E75" s="380">
        <v>64000</v>
      </c>
      <c r="F75" s="381">
        <v>400</v>
      </c>
      <c r="G75" s="380">
        <v>400</v>
      </c>
      <c r="H75" s="382">
        <v>3000</v>
      </c>
      <c r="I75" s="380">
        <f t="shared" si="6"/>
        <v>16000</v>
      </c>
      <c r="J75" s="383">
        <f t="shared" si="7"/>
        <v>52800.000000000007</v>
      </c>
      <c r="K75" s="384">
        <f t="shared" si="30"/>
        <v>0</v>
      </c>
      <c r="L75" s="385">
        <f t="shared" si="31"/>
        <v>0</v>
      </c>
      <c r="M75" s="386">
        <f t="shared" si="15"/>
        <v>52800.000000000007</v>
      </c>
      <c r="N75" s="387" t="str">
        <f t="shared" si="8"/>
        <v/>
      </c>
      <c r="O75" s="743"/>
      <c r="P75" s="604">
        <f t="shared" si="28"/>
        <v>-1000</v>
      </c>
      <c r="Q75" s="152">
        <f t="shared" si="10"/>
        <v>20</v>
      </c>
      <c r="R75" s="47" t="str">
        <f t="shared" si="37"/>
        <v/>
      </c>
      <c r="S75" s="47">
        <f t="shared" si="12"/>
        <v>20</v>
      </c>
      <c r="T75" s="47" t="str">
        <f t="shared" si="38"/>
        <v/>
      </c>
      <c r="U75" s="47">
        <f t="shared" si="17"/>
        <v>20</v>
      </c>
      <c r="V75" s="600">
        <v>5000</v>
      </c>
      <c r="W75" s="464">
        <f t="shared" si="13"/>
        <v>52800.000000000007</v>
      </c>
    </row>
    <row r="76" spans="1:23" ht="17.100000000000001" customHeight="1">
      <c r="A76" s="147">
        <v>16000</v>
      </c>
      <c r="B76" s="504">
        <f>IF(C76="O","",RANK(W76,W$24:W$88,1)+COUNTIF($W$24:W76,W76)-1)</f>
        <v>28</v>
      </c>
      <c r="C76" s="449"/>
      <c r="D76" s="376" t="s">
        <v>200</v>
      </c>
      <c r="E76" s="366">
        <v>66000</v>
      </c>
      <c r="F76" s="367">
        <v>400</v>
      </c>
      <c r="G76" s="366">
        <v>400</v>
      </c>
      <c r="H76" s="378">
        <v>6000</v>
      </c>
      <c r="I76" s="366">
        <f t="shared" si="6"/>
        <v>16000</v>
      </c>
      <c r="J76" s="339">
        <f t="shared" si="7"/>
        <v>55000.000000000007</v>
      </c>
      <c r="K76" s="291">
        <f t="shared" si="30"/>
        <v>0</v>
      </c>
      <c r="L76" s="292">
        <f t="shared" si="31"/>
        <v>0</v>
      </c>
      <c r="M76" s="293">
        <f t="shared" si="15"/>
        <v>55000.000000000007</v>
      </c>
      <c r="N76" s="340" t="str">
        <f t="shared" si="8"/>
        <v/>
      </c>
      <c r="O76" s="743"/>
      <c r="P76" s="604">
        <f t="shared" si="28"/>
        <v>-4000</v>
      </c>
      <c r="Q76" s="152">
        <f t="shared" si="10"/>
        <v>28</v>
      </c>
      <c r="R76" s="47" t="str">
        <f t="shared" si="37"/>
        <v/>
      </c>
      <c r="S76" s="47">
        <f t="shared" si="12"/>
        <v>28</v>
      </c>
      <c r="T76" s="47" t="str">
        <f t="shared" si="38"/>
        <v/>
      </c>
      <c r="U76" s="47">
        <f t="shared" si="17"/>
        <v>28</v>
      </c>
      <c r="V76" s="600">
        <v>5000</v>
      </c>
      <c r="W76" s="464">
        <f t="shared" si="13"/>
        <v>55000.000000000007</v>
      </c>
    </row>
    <row r="77" spans="1:23" ht="17.100000000000001" customHeight="1" thickBot="1">
      <c r="A77" s="147">
        <v>16000</v>
      </c>
      <c r="B77" s="504">
        <f>IF(C77="O","",RANK(W77,W$24:W$88,1)+COUNTIF($W$24:W77,W77)-1)</f>
        <v>34</v>
      </c>
      <c r="C77" s="450"/>
      <c r="D77" s="388" t="s">
        <v>199</v>
      </c>
      <c r="E77" s="389">
        <v>69000</v>
      </c>
      <c r="F77" s="390">
        <v>400</v>
      </c>
      <c r="G77" s="389">
        <v>400</v>
      </c>
      <c r="H77" s="391">
        <v>10000</v>
      </c>
      <c r="I77" s="389">
        <f t="shared" si="6"/>
        <v>16000</v>
      </c>
      <c r="J77" s="392">
        <f t="shared" si="7"/>
        <v>58300.000000000007</v>
      </c>
      <c r="K77" s="393">
        <f t="shared" si="30"/>
        <v>0</v>
      </c>
      <c r="L77" s="394">
        <f t="shared" si="31"/>
        <v>0</v>
      </c>
      <c r="M77" s="395">
        <f t="shared" si="15"/>
        <v>58300.000000000007</v>
      </c>
      <c r="N77" s="396" t="str">
        <f t="shared" si="8"/>
        <v/>
      </c>
      <c r="O77" s="744"/>
      <c r="P77" s="604">
        <f t="shared" si="28"/>
        <v>-8000</v>
      </c>
      <c r="Q77" s="152">
        <f t="shared" si="10"/>
        <v>34</v>
      </c>
      <c r="R77" s="47" t="str">
        <f t="shared" si="37"/>
        <v/>
      </c>
      <c r="S77" s="47">
        <f t="shared" si="12"/>
        <v>34</v>
      </c>
      <c r="T77" s="47" t="str">
        <f t="shared" si="38"/>
        <v/>
      </c>
      <c r="U77" s="47">
        <f t="shared" si="17"/>
        <v>34</v>
      </c>
      <c r="V77" s="600">
        <v>8000</v>
      </c>
      <c r="W77" s="464">
        <f t="shared" si="13"/>
        <v>58300.000000000007</v>
      </c>
    </row>
    <row r="78" spans="1:23" ht="17.100000000000001" customHeight="1">
      <c r="A78" s="147">
        <v>16000</v>
      </c>
      <c r="B78" s="504">
        <f>IF(C78="O","",RANK(W78,W$24:W$88,1)+COUNTIF($W$24:W78,W78)-1)</f>
        <v>21</v>
      </c>
      <c r="C78" s="458"/>
      <c r="D78" s="372" t="s">
        <v>201</v>
      </c>
      <c r="E78" s="373">
        <v>64500</v>
      </c>
      <c r="F78" s="398" t="s">
        <v>38</v>
      </c>
      <c r="G78" s="399" t="s">
        <v>15</v>
      </c>
      <c r="H78" s="375">
        <v>250</v>
      </c>
      <c r="I78" s="373">
        <f t="shared" si="6"/>
        <v>16000</v>
      </c>
      <c r="J78" s="364">
        <f t="shared" si="7"/>
        <v>53350.000000000007</v>
      </c>
      <c r="K78" s="281">
        <f t="shared" ref="K78:K83" si="39">IF(F$8&lt;F78,0,((F$8-F78)*60*1.8))</f>
        <v>0</v>
      </c>
      <c r="L78" s="282">
        <f t="shared" si="20"/>
        <v>0</v>
      </c>
      <c r="M78" s="283">
        <f t="shared" si="15"/>
        <v>53350.000000000007</v>
      </c>
      <c r="N78" s="350" t="str">
        <f t="shared" si="8"/>
        <v>데이터(1.75GB) 부족</v>
      </c>
      <c r="O78" s="742" t="s">
        <v>207</v>
      </c>
      <c r="P78" s="604">
        <f t="shared" si="28"/>
        <v>1750</v>
      </c>
      <c r="Q78" s="152">
        <f t="shared" si="10"/>
        <v>21</v>
      </c>
      <c r="R78" s="47">
        <f t="shared" ref="R78:R83" si="40">IF(B78=SMALL($B$78:$B$83,1),B78,"")</f>
        <v>21</v>
      </c>
      <c r="S78" s="47" t="str">
        <f t="shared" si="12"/>
        <v/>
      </c>
      <c r="T78" s="47" t="str">
        <f>IF(S78="","",IF(S78=SMALL($S$78:$S$83,1),S78,""))</f>
        <v/>
      </c>
      <c r="U78" s="47">
        <f t="shared" si="17"/>
        <v>21</v>
      </c>
      <c r="V78" s="600">
        <v>5000</v>
      </c>
      <c r="W78" s="464">
        <f t="shared" si="13"/>
        <v>53350.000000000007</v>
      </c>
    </row>
    <row r="79" spans="1:23" ht="17.100000000000001" customHeight="1">
      <c r="A79" s="147">
        <v>16000</v>
      </c>
      <c r="B79" s="504">
        <f>IF(C79="O","",RANK(W79,W$24:W$88,1)+COUNTIF($W$24:W79,W79)-1)</f>
        <v>25</v>
      </c>
      <c r="C79" s="449"/>
      <c r="D79" s="379" t="s">
        <v>201</v>
      </c>
      <c r="E79" s="380">
        <v>65000</v>
      </c>
      <c r="F79" s="400" t="s">
        <v>38</v>
      </c>
      <c r="G79" s="401" t="s">
        <v>15</v>
      </c>
      <c r="H79" s="397">
        <v>1000</v>
      </c>
      <c r="I79" s="380">
        <f t="shared" si="6"/>
        <v>16000</v>
      </c>
      <c r="J79" s="383">
        <f t="shared" si="7"/>
        <v>53900.000000000007</v>
      </c>
      <c r="K79" s="384">
        <f t="shared" si="39"/>
        <v>0</v>
      </c>
      <c r="L79" s="385">
        <f t="shared" si="20"/>
        <v>0</v>
      </c>
      <c r="M79" s="386">
        <f t="shared" si="15"/>
        <v>53900.000000000007</v>
      </c>
      <c r="N79" s="387" t="str">
        <f t="shared" si="8"/>
        <v>데이터(1GB) 부족</v>
      </c>
      <c r="O79" s="743"/>
      <c r="P79" s="604">
        <f t="shared" si="28"/>
        <v>1000</v>
      </c>
      <c r="Q79" s="152">
        <f t="shared" si="10"/>
        <v>25</v>
      </c>
      <c r="R79" s="47" t="str">
        <f t="shared" si="40"/>
        <v/>
      </c>
      <c r="S79" s="47" t="str">
        <f t="shared" si="12"/>
        <v/>
      </c>
      <c r="T79" s="47" t="str">
        <f t="shared" ref="T79:T83" si="41">IF(S79="","",IF(S79=SMALL($S$78:$S$83,1),S79,""))</f>
        <v/>
      </c>
      <c r="U79" s="47">
        <f t="shared" si="17"/>
        <v>25</v>
      </c>
      <c r="V79" s="600">
        <v>5000</v>
      </c>
      <c r="W79" s="464">
        <f t="shared" si="13"/>
        <v>53900.000000000007</v>
      </c>
    </row>
    <row r="80" spans="1:23" ht="17.100000000000001" customHeight="1">
      <c r="A80" s="147">
        <v>16000</v>
      </c>
      <c r="B80" s="504">
        <f>IF(C80="O","",RANK(W80,W$24:W$88,1)+COUNTIF($W$24:W80,W80)-1)</f>
        <v>26</v>
      </c>
      <c r="C80" s="449"/>
      <c r="D80" s="376" t="s">
        <v>201</v>
      </c>
      <c r="E80" s="366">
        <v>65500</v>
      </c>
      <c r="F80" s="402" t="s">
        <v>38</v>
      </c>
      <c r="G80" s="403" t="s">
        <v>15</v>
      </c>
      <c r="H80" s="378">
        <v>2000</v>
      </c>
      <c r="I80" s="366">
        <f t="shared" si="6"/>
        <v>16000</v>
      </c>
      <c r="J80" s="339">
        <f t="shared" si="7"/>
        <v>54450.000000000007</v>
      </c>
      <c r="K80" s="291">
        <f t="shared" si="39"/>
        <v>0</v>
      </c>
      <c r="L80" s="292">
        <f t="shared" si="20"/>
        <v>0</v>
      </c>
      <c r="M80" s="293">
        <f t="shared" si="15"/>
        <v>54450.000000000007</v>
      </c>
      <c r="N80" s="340" t="str">
        <f t="shared" si="8"/>
        <v/>
      </c>
      <c r="O80" s="743"/>
      <c r="P80" s="604">
        <f t="shared" si="28"/>
        <v>0</v>
      </c>
      <c r="Q80" s="152">
        <f t="shared" si="10"/>
        <v>26</v>
      </c>
      <c r="R80" s="47" t="str">
        <f t="shared" si="40"/>
        <v/>
      </c>
      <c r="S80" s="47">
        <f t="shared" si="12"/>
        <v>26</v>
      </c>
      <c r="T80" s="47">
        <f t="shared" si="41"/>
        <v>26</v>
      </c>
      <c r="U80" s="47">
        <f t="shared" si="17"/>
        <v>26</v>
      </c>
      <c r="V80" s="600">
        <v>5000</v>
      </c>
      <c r="W80" s="464">
        <f t="shared" si="13"/>
        <v>54450.000000000007</v>
      </c>
    </row>
    <row r="81" spans="1:25" ht="17.100000000000001" customHeight="1">
      <c r="A81" s="147">
        <v>16000</v>
      </c>
      <c r="B81" s="504">
        <f>IF(C81="O","",RANK(W81,W$24:W$88,1)+COUNTIF($W$24:W81,W81)-1)</f>
        <v>29</v>
      </c>
      <c r="C81" s="449"/>
      <c r="D81" s="379" t="s">
        <v>201</v>
      </c>
      <c r="E81" s="380">
        <v>66000</v>
      </c>
      <c r="F81" s="400" t="s">
        <v>38</v>
      </c>
      <c r="G81" s="401" t="s">
        <v>15</v>
      </c>
      <c r="H81" s="382">
        <v>3000</v>
      </c>
      <c r="I81" s="380">
        <f t="shared" si="6"/>
        <v>16000</v>
      </c>
      <c r="J81" s="383">
        <f t="shared" si="7"/>
        <v>55000.000000000007</v>
      </c>
      <c r="K81" s="384">
        <f t="shared" si="39"/>
        <v>0</v>
      </c>
      <c r="L81" s="385">
        <f t="shared" si="20"/>
        <v>0</v>
      </c>
      <c r="M81" s="386">
        <f t="shared" si="15"/>
        <v>55000.000000000007</v>
      </c>
      <c r="N81" s="387" t="str">
        <f t="shared" si="8"/>
        <v/>
      </c>
      <c r="O81" s="743"/>
      <c r="P81" s="604">
        <f t="shared" si="28"/>
        <v>-1000</v>
      </c>
      <c r="Q81" s="152">
        <f t="shared" si="10"/>
        <v>29</v>
      </c>
      <c r="R81" s="47" t="str">
        <f t="shared" si="40"/>
        <v/>
      </c>
      <c r="S81" s="47">
        <f t="shared" si="12"/>
        <v>29</v>
      </c>
      <c r="T81" s="47" t="str">
        <f t="shared" si="41"/>
        <v/>
      </c>
      <c r="U81" s="47">
        <f t="shared" si="17"/>
        <v>29</v>
      </c>
      <c r="V81" s="600">
        <v>5000</v>
      </c>
      <c r="W81" s="464">
        <f t="shared" si="13"/>
        <v>55000.000000000007</v>
      </c>
    </row>
    <row r="82" spans="1:25" ht="17.100000000000001" customHeight="1">
      <c r="A82" s="147">
        <v>18000</v>
      </c>
      <c r="B82" s="504">
        <f>IF(C82="O","",RANK(W82,W$24:W$88,1)+COUNTIF($W$24:W82,W82)-1)</f>
        <v>39</v>
      </c>
      <c r="C82" s="449"/>
      <c r="D82" s="376" t="s">
        <v>201</v>
      </c>
      <c r="E82" s="366">
        <v>76000</v>
      </c>
      <c r="F82" s="402" t="s">
        <v>38</v>
      </c>
      <c r="G82" s="403" t="s">
        <v>15</v>
      </c>
      <c r="H82" s="378">
        <v>6000</v>
      </c>
      <c r="I82" s="366">
        <f t="shared" si="6"/>
        <v>18000</v>
      </c>
      <c r="J82" s="339">
        <f t="shared" si="7"/>
        <v>63800.000000000007</v>
      </c>
      <c r="K82" s="291">
        <f t="shared" si="39"/>
        <v>0</v>
      </c>
      <c r="L82" s="292">
        <f t="shared" si="20"/>
        <v>0</v>
      </c>
      <c r="M82" s="293">
        <f t="shared" si="15"/>
        <v>63800.000000000007</v>
      </c>
      <c r="N82" s="340" t="str">
        <f t="shared" si="8"/>
        <v/>
      </c>
      <c r="O82" s="743"/>
      <c r="P82" s="604">
        <f t="shared" si="28"/>
        <v>-4000</v>
      </c>
      <c r="Q82" s="152">
        <f t="shared" si="10"/>
        <v>39</v>
      </c>
      <c r="R82" s="47" t="str">
        <f t="shared" si="40"/>
        <v/>
      </c>
      <c r="S82" s="47">
        <f t="shared" si="12"/>
        <v>39</v>
      </c>
      <c r="T82" s="47" t="str">
        <f t="shared" si="41"/>
        <v/>
      </c>
      <c r="U82" s="47">
        <f t="shared" si="17"/>
        <v>39</v>
      </c>
      <c r="V82" s="600">
        <v>8000</v>
      </c>
      <c r="W82" s="464">
        <f t="shared" si="13"/>
        <v>63800.000000000007</v>
      </c>
    </row>
    <row r="83" spans="1:25" ht="17.100000000000001" customHeight="1" thickBot="1">
      <c r="A83" s="147">
        <v>18000</v>
      </c>
      <c r="B83" s="504">
        <f>IF(C83="O","",RANK(W83,W$24:W$88,1)+COUNTIF($W$24:W83,W83)-1)</f>
        <v>48</v>
      </c>
      <c r="C83" s="454"/>
      <c r="D83" s="388" t="s">
        <v>201</v>
      </c>
      <c r="E83" s="389">
        <v>84000</v>
      </c>
      <c r="F83" s="404" t="s">
        <v>38</v>
      </c>
      <c r="G83" s="405" t="s">
        <v>15</v>
      </c>
      <c r="H83" s="391">
        <v>10000</v>
      </c>
      <c r="I83" s="389">
        <f t="shared" si="6"/>
        <v>18000</v>
      </c>
      <c r="J83" s="392">
        <f t="shared" si="7"/>
        <v>72600</v>
      </c>
      <c r="K83" s="393">
        <f t="shared" si="39"/>
        <v>0</v>
      </c>
      <c r="L83" s="394">
        <f t="shared" si="20"/>
        <v>0</v>
      </c>
      <c r="M83" s="395">
        <f t="shared" si="15"/>
        <v>72600</v>
      </c>
      <c r="N83" s="396" t="str">
        <f t="shared" si="8"/>
        <v/>
      </c>
      <c r="O83" s="744"/>
      <c r="P83" s="604">
        <f t="shared" si="28"/>
        <v>-8000</v>
      </c>
      <c r="Q83" s="152">
        <f t="shared" si="10"/>
        <v>48</v>
      </c>
      <c r="R83" s="47" t="str">
        <f t="shared" si="40"/>
        <v/>
      </c>
      <c r="S83" s="47">
        <f t="shared" si="12"/>
        <v>48</v>
      </c>
      <c r="T83" s="47" t="str">
        <f t="shared" si="41"/>
        <v/>
      </c>
      <c r="U83" s="47">
        <f t="shared" si="17"/>
        <v>48</v>
      </c>
      <c r="V83" s="600">
        <v>8000</v>
      </c>
      <c r="W83" s="464">
        <f t="shared" si="13"/>
        <v>72600</v>
      </c>
    </row>
    <row r="84" spans="1:25" ht="17.100000000000001" customHeight="1">
      <c r="A84" s="147">
        <v>16000</v>
      </c>
      <c r="B84" s="504">
        <f>IF(C84="O","",RANK(W84,W$24:W$88,1)+COUNTIF($W$24:W84,W84)-1)</f>
        <v>52</v>
      </c>
      <c r="C84" s="463"/>
      <c r="D84" s="372" t="s">
        <v>228</v>
      </c>
      <c r="E84" s="373">
        <v>67000</v>
      </c>
      <c r="F84" s="374">
        <v>100</v>
      </c>
      <c r="G84" s="373">
        <v>100</v>
      </c>
      <c r="H84" s="406" t="s">
        <v>15</v>
      </c>
      <c r="I84" s="373">
        <f t="shared" si="6"/>
        <v>16000</v>
      </c>
      <c r="J84" s="364">
        <f t="shared" si="7"/>
        <v>56100.000000000007</v>
      </c>
      <c r="K84" s="281">
        <f>IF(F$8&lt;F84,0,((F$8-F84)*60*1.8))*IF($N$10="O",0.65,1)</f>
        <v>22788</v>
      </c>
      <c r="L84" s="282">
        <f>IF($F$10&lt;$G84,0,($F$10-G84)*20)*IF($N$10="O",0.65,1)</f>
        <v>2020</v>
      </c>
      <c r="M84" s="283">
        <f t="shared" si="15"/>
        <v>83388.800000000017</v>
      </c>
      <c r="N84" s="350" t="str">
        <f t="shared" si="8"/>
        <v/>
      </c>
      <c r="O84" s="739" t="s">
        <v>206</v>
      </c>
      <c r="P84" s="604">
        <v>1</v>
      </c>
      <c r="Q84" s="152">
        <f t="shared" si="10"/>
        <v>52</v>
      </c>
      <c r="R84" s="47">
        <f>B84</f>
        <v>52</v>
      </c>
      <c r="S84" s="47">
        <f t="shared" si="12"/>
        <v>52</v>
      </c>
      <c r="T84" s="47">
        <f t="shared" si="16"/>
        <v>52</v>
      </c>
      <c r="U84" s="47">
        <f t="shared" si="17"/>
        <v>52</v>
      </c>
      <c r="V84" s="600">
        <v>8000</v>
      </c>
      <c r="W84" s="464">
        <f t="shared" si="13"/>
        <v>83388.800000000017</v>
      </c>
    </row>
    <row r="85" spans="1:25" ht="17.100000000000001" customHeight="1">
      <c r="A85" s="147">
        <v>18000</v>
      </c>
      <c r="B85" s="504">
        <f>IF(C85="O","",RANK(W85,W$24:W$88,1)+COUNTIF($W$24:W85,W85)-1)</f>
        <v>51</v>
      </c>
      <c r="C85" s="449"/>
      <c r="D85" s="379" t="s">
        <v>229</v>
      </c>
      <c r="E85" s="380">
        <v>73500</v>
      </c>
      <c r="F85" s="381">
        <v>180</v>
      </c>
      <c r="G85" s="380">
        <v>180</v>
      </c>
      <c r="H85" s="407" t="s">
        <v>15</v>
      </c>
      <c r="I85" s="380">
        <f t="shared" si="6"/>
        <v>18000</v>
      </c>
      <c r="J85" s="383">
        <f t="shared" si="7"/>
        <v>61050.000000000007</v>
      </c>
      <c r="K85" s="384">
        <f t="shared" ref="K85:K88" si="42">IF(F$8&lt;F85,0,((F$8-F85)*60*1.8))*IF($N$10="O",0.65,1)</f>
        <v>14148</v>
      </c>
      <c r="L85" s="385">
        <f t="shared" ref="L85:L88" si="43">IF($F$10&lt;$G85,0,($F$10-G85)*20)*IF($N$10="O",0.65,1)</f>
        <v>420</v>
      </c>
      <c r="M85" s="386">
        <f t="shared" si="15"/>
        <v>77074.8</v>
      </c>
      <c r="N85" s="387" t="str">
        <f t="shared" si="8"/>
        <v/>
      </c>
      <c r="O85" s="740"/>
      <c r="P85" s="604">
        <v>1</v>
      </c>
      <c r="Q85" s="152">
        <f t="shared" si="10"/>
        <v>51</v>
      </c>
      <c r="R85" s="47">
        <f>B85</f>
        <v>51</v>
      </c>
      <c r="S85" s="47">
        <f t="shared" si="12"/>
        <v>51</v>
      </c>
      <c r="T85" s="47">
        <f t="shared" si="16"/>
        <v>51</v>
      </c>
      <c r="U85" s="47">
        <f t="shared" si="17"/>
        <v>51</v>
      </c>
      <c r="V85" s="600">
        <v>8000</v>
      </c>
      <c r="W85" s="464">
        <f t="shared" si="13"/>
        <v>77074.8</v>
      </c>
    </row>
    <row r="86" spans="1:25" ht="17.100000000000001" customHeight="1">
      <c r="A86" s="147">
        <v>18000</v>
      </c>
      <c r="B86" s="504">
        <f>IF(C86="O","",RANK(W86,W$24:W$88,1)+COUNTIF($W$24:W86,W86)-1)</f>
        <v>42</v>
      </c>
      <c r="C86" s="449"/>
      <c r="D86" s="376" t="s">
        <v>230</v>
      </c>
      <c r="E86" s="366">
        <v>77000</v>
      </c>
      <c r="F86" s="367">
        <v>300</v>
      </c>
      <c r="G86" s="366">
        <v>300</v>
      </c>
      <c r="H86" s="368" t="s">
        <v>15</v>
      </c>
      <c r="I86" s="366">
        <f t="shared" si="6"/>
        <v>18000</v>
      </c>
      <c r="J86" s="339">
        <f t="shared" si="7"/>
        <v>64900.000000000007</v>
      </c>
      <c r="K86" s="291">
        <f t="shared" si="42"/>
        <v>1188</v>
      </c>
      <c r="L86" s="292">
        <f t="shared" si="43"/>
        <v>0</v>
      </c>
      <c r="M86" s="293">
        <f t="shared" si="15"/>
        <v>66206.8</v>
      </c>
      <c r="N86" s="340" t="str">
        <f t="shared" si="8"/>
        <v/>
      </c>
      <c r="O86" s="740"/>
      <c r="P86" s="604">
        <v>1</v>
      </c>
      <c r="Q86" s="152">
        <f t="shared" si="10"/>
        <v>42</v>
      </c>
      <c r="R86" s="47">
        <f>B86</f>
        <v>42</v>
      </c>
      <c r="S86" s="47">
        <f t="shared" si="12"/>
        <v>42</v>
      </c>
      <c r="T86" s="47">
        <f t="shared" si="16"/>
        <v>42</v>
      </c>
      <c r="U86" s="47">
        <f t="shared" si="17"/>
        <v>42</v>
      </c>
      <c r="V86" s="600">
        <v>8000</v>
      </c>
      <c r="W86" s="464">
        <f t="shared" si="13"/>
        <v>66206.8</v>
      </c>
    </row>
    <row r="87" spans="1:25" ht="17.100000000000001" customHeight="1">
      <c r="A87" s="147">
        <v>18000</v>
      </c>
      <c r="B87" s="504">
        <f>IF(C87="O","",RANK(W87,W$24:W$88,1)+COUNTIF($W$24:W87,W87)-1)</f>
        <v>50</v>
      </c>
      <c r="C87" s="449"/>
      <c r="D87" s="379" t="s">
        <v>231</v>
      </c>
      <c r="E87" s="380">
        <v>84500</v>
      </c>
      <c r="F87" s="381">
        <v>400</v>
      </c>
      <c r="G87" s="380">
        <v>400</v>
      </c>
      <c r="H87" s="407" t="s">
        <v>15</v>
      </c>
      <c r="I87" s="380">
        <f t="shared" si="6"/>
        <v>18000</v>
      </c>
      <c r="J87" s="383">
        <f t="shared" si="7"/>
        <v>73150</v>
      </c>
      <c r="K87" s="384">
        <f t="shared" si="42"/>
        <v>0</v>
      </c>
      <c r="L87" s="385">
        <f t="shared" si="43"/>
        <v>0</v>
      </c>
      <c r="M87" s="386">
        <f t="shared" si="15"/>
        <v>73150</v>
      </c>
      <c r="N87" s="387" t="str">
        <f t="shared" si="8"/>
        <v/>
      </c>
      <c r="O87" s="740"/>
      <c r="P87" s="604">
        <v>1</v>
      </c>
      <c r="Q87" s="152">
        <f t="shared" si="10"/>
        <v>50</v>
      </c>
      <c r="R87" s="47">
        <f>B87</f>
        <v>50</v>
      </c>
      <c r="S87" s="47">
        <f t="shared" si="12"/>
        <v>50</v>
      </c>
      <c r="T87" s="47">
        <f t="shared" si="16"/>
        <v>50</v>
      </c>
      <c r="U87" s="47">
        <f t="shared" si="17"/>
        <v>50</v>
      </c>
      <c r="V87" s="600">
        <v>8000</v>
      </c>
      <c r="W87" s="464">
        <f t="shared" si="13"/>
        <v>73150</v>
      </c>
    </row>
    <row r="88" spans="1:25" ht="17.100000000000001" customHeight="1" thickBot="1">
      <c r="A88" s="147">
        <v>24000</v>
      </c>
      <c r="B88" s="504">
        <f>IF(C88="O","",RANK(W88,W$24:W$88,1)+COUNTIF($W$24:W88,W88)-1)</f>
        <v>55</v>
      </c>
      <c r="C88" s="450"/>
      <c r="D88" s="408" t="s">
        <v>232</v>
      </c>
      <c r="E88" s="409">
        <v>100000</v>
      </c>
      <c r="F88" s="410" t="s">
        <v>38</v>
      </c>
      <c r="G88" s="411" t="s">
        <v>15</v>
      </c>
      <c r="H88" s="412" t="s">
        <v>15</v>
      </c>
      <c r="I88" s="409">
        <f t="shared" ref="I88" si="44">IF($N$8="X",A88,A88+V88)</f>
        <v>24000</v>
      </c>
      <c r="J88" s="343">
        <f t="shared" ref="J88" si="45">IF($N$10="X",(E88-I88)*1.1,(E88-I88)*1.1*0.65)</f>
        <v>83600</v>
      </c>
      <c r="K88" s="301">
        <f t="shared" si="42"/>
        <v>0</v>
      </c>
      <c r="L88" s="302">
        <f t="shared" si="43"/>
        <v>0</v>
      </c>
      <c r="M88" s="303">
        <f t="shared" si="15"/>
        <v>83600</v>
      </c>
      <c r="N88" s="361" t="str">
        <f t="shared" ref="N88" si="46">IF(H88="무제한","",IF(($F$11-H88)&gt;0,"데이터("&amp;P88/1000&amp;"GB) 부족",""))</f>
        <v/>
      </c>
      <c r="O88" s="741"/>
      <c r="P88" s="604">
        <v>1</v>
      </c>
      <c r="Q88" s="152">
        <f t="shared" ref="Q88" si="47">B88</f>
        <v>55</v>
      </c>
      <c r="R88" s="47">
        <f>B88</f>
        <v>55</v>
      </c>
      <c r="S88" s="47">
        <f t="shared" ref="S88" si="48">IF($F$11&lt;=H88,B88,"")</f>
        <v>55</v>
      </c>
      <c r="T88" s="47">
        <f t="shared" si="16"/>
        <v>55</v>
      </c>
      <c r="U88" s="47">
        <f t="shared" si="17"/>
        <v>55</v>
      </c>
      <c r="V88" s="600">
        <v>8000</v>
      </c>
      <c r="W88" s="464">
        <f t="shared" ref="W88" si="49">IF(C88="O","",M88)</f>
        <v>83600</v>
      </c>
    </row>
    <row r="89" spans="1:25" s="41" customFormat="1" ht="17.100000000000001" customHeight="1">
      <c r="A89" s="147"/>
      <c r="B89" s="147"/>
      <c r="P89" s="108"/>
      <c r="Q89" s="107"/>
      <c r="R89" s="107"/>
      <c r="S89" s="107"/>
      <c r="T89" s="107"/>
      <c r="U89" s="107"/>
      <c r="V89" s="600"/>
      <c r="W89" s="601"/>
      <c r="X89" s="274"/>
      <c r="Y89" s="249"/>
    </row>
    <row r="90" spans="1:25" s="41" customFormat="1" ht="17.100000000000001" customHeight="1">
      <c r="A90" s="147"/>
      <c r="B90" s="147"/>
      <c r="D90" s="145" t="s">
        <v>236</v>
      </c>
      <c r="P90" s="108"/>
      <c r="Q90" s="107"/>
      <c r="R90" s="107"/>
      <c r="S90" s="107"/>
      <c r="T90" s="107"/>
      <c r="U90" s="107"/>
      <c r="V90" s="600"/>
      <c r="W90" s="601"/>
      <c r="X90" s="274"/>
      <c r="Y90" s="249"/>
    </row>
    <row r="91" spans="1:25" s="41" customFormat="1" ht="17.100000000000001" customHeight="1">
      <c r="A91" s="147"/>
      <c r="B91" s="147"/>
      <c r="D91" s="115" t="s">
        <v>237</v>
      </c>
      <c r="P91" s="108"/>
      <c r="Q91" s="107"/>
      <c r="R91" s="107"/>
      <c r="S91" s="107"/>
      <c r="T91" s="107"/>
      <c r="U91" s="107"/>
      <c r="V91" s="600"/>
      <c r="W91" s="601"/>
      <c r="X91" s="274"/>
      <c r="Y91" s="249"/>
    </row>
    <row r="92" spans="1:25" s="41" customFormat="1" ht="17.100000000000001" customHeight="1">
      <c r="A92" s="147"/>
      <c r="B92" s="147"/>
      <c r="D92" s="115" t="s">
        <v>238</v>
      </c>
      <c r="P92" s="108"/>
      <c r="Q92" s="107"/>
      <c r="R92" s="107"/>
      <c r="S92" s="107"/>
      <c r="T92" s="107"/>
      <c r="U92" s="107"/>
      <c r="V92" s="600"/>
      <c r="W92" s="601"/>
      <c r="X92" s="274"/>
      <c r="Y92" s="249"/>
    </row>
    <row r="93" spans="1:25" s="41" customFormat="1" ht="17.100000000000001" customHeight="1">
      <c r="A93" s="147"/>
      <c r="B93" s="147"/>
      <c r="D93" s="115" t="s">
        <v>239</v>
      </c>
      <c r="P93" s="108"/>
      <c r="Q93" s="107"/>
      <c r="R93" s="107"/>
      <c r="S93" s="107"/>
      <c r="T93" s="107"/>
      <c r="U93" s="107"/>
      <c r="V93" s="600"/>
      <c r="W93" s="601"/>
      <c r="X93" s="274"/>
      <c r="Y93" s="249"/>
    </row>
    <row r="94" spans="1:25" s="41" customFormat="1" ht="17.100000000000001" customHeight="1">
      <c r="A94" s="147"/>
      <c r="B94" s="147"/>
      <c r="D94" s="115" t="s">
        <v>240</v>
      </c>
      <c r="P94" s="108"/>
      <c r="Q94" s="107"/>
      <c r="R94" s="107"/>
      <c r="S94" s="107"/>
      <c r="T94" s="107"/>
      <c r="U94" s="107"/>
      <c r="V94" s="600"/>
      <c r="W94" s="601"/>
      <c r="X94" s="274"/>
      <c r="Y94" s="249"/>
    </row>
    <row r="95" spans="1:25" s="41" customFormat="1" ht="17.100000000000001" customHeight="1">
      <c r="A95" s="147"/>
      <c r="B95" s="147"/>
      <c r="D95" s="115" t="s">
        <v>241</v>
      </c>
      <c r="P95" s="108"/>
      <c r="Q95" s="107"/>
      <c r="R95" s="107"/>
      <c r="S95" s="107"/>
      <c r="T95" s="107"/>
      <c r="U95" s="107"/>
      <c r="V95" s="600"/>
      <c r="W95" s="601"/>
      <c r="X95" s="274"/>
      <c r="Y95" s="249"/>
    </row>
    <row r="96" spans="1:25" s="41" customFormat="1" ht="17.100000000000001" customHeight="1">
      <c r="A96" s="147"/>
      <c r="B96" s="147"/>
      <c r="P96" s="108"/>
      <c r="Q96" s="107"/>
      <c r="R96" s="107"/>
      <c r="S96" s="107"/>
      <c r="T96" s="107"/>
      <c r="U96" s="107"/>
      <c r="V96" s="600"/>
      <c r="W96" s="601"/>
      <c r="X96" s="274"/>
      <c r="Y96" s="249"/>
    </row>
    <row r="97" spans="1:25" s="41" customFormat="1">
      <c r="A97" s="147"/>
      <c r="B97" s="147"/>
      <c r="P97" s="108"/>
      <c r="Q97" s="107"/>
      <c r="R97" s="107"/>
      <c r="S97" s="107"/>
      <c r="T97" s="107"/>
      <c r="U97" s="107"/>
      <c r="V97" s="600"/>
      <c r="W97" s="601"/>
      <c r="X97" s="274"/>
      <c r="Y97" s="249"/>
    </row>
    <row r="98" spans="1:25" s="41" customFormat="1">
      <c r="A98" s="147"/>
      <c r="B98" s="147"/>
      <c r="P98" s="108"/>
      <c r="Q98" s="107"/>
      <c r="R98" s="107"/>
      <c r="S98" s="107"/>
      <c r="T98" s="107"/>
      <c r="U98" s="107"/>
      <c r="V98" s="600"/>
      <c r="W98" s="601"/>
      <c r="X98" s="274"/>
      <c r="Y98" s="249"/>
    </row>
    <row r="99" spans="1:25" s="41" customFormat="1">
      <c r="A99" s="147"/>
      <c r="B99" s="147"/>
      <c r="P99" s="108"/>
      <c r="Q99" s="107"/>
      <c r="R99" s="107"/>
      <c r="S99" s="107"/>
      <c r="T99" s="107"/>
      <c r="U99" s="107"/>
      <c r="V99" s="600"/>
      <c r="W99" s="601"/>
      <c r="X99" s="274"/>
      <c r="Y99" s="249"/>
    </row>
    <row r="100" spans="1:25" s="41" customFormat="1">
      <c r="A100" s="147"/>
      <c r="B100" s="147"/>
      <c r="P100" s="108"/>
      <c r="Q100" s="107"/>
      <c r="R100" s="107"/>
      <c r="S100" s="107"/>
      <c r="T100" s="107"/>
      <c r="U100" s="107"/>
      <c r="V100" s="600"/>
      <c r="W100" s="601"/>
      <c r="X100" s="274"/>
      <c r="Y100" s="249"/>
    </row>
    <row r="101" spans="1:25" s="41" customFormat="1">
      <c r="A101" s="147"/>
      <c r="B101" s="147"/>
      <c r="P101" s="108"/>
      <c r="Q101" s="107"/>
      <c r="R101" s="107"/>
      <c r="S101" s="107"/>
      <c r="T101" s="107"/>
      <c r="U101" s="107"/>
      <c r="V101" s="600"/>
      <c r="W101" s="601"/>
      <c r="X101" s="274"/>
      <c r="Y101" s="249"/>
    </row>
    <row r="102" spans="1:25" s="41" customFormat="1">
      <c r="A102" s="147"/>
      <c r="B102" s="147"/>
      <c r="P102" s="108"/>
      <c r="Q102" s="107"/>
      <c r="R102" s="107"/>
      <c r="S102" s="107"/>
      <c r="T102" s="107"/>
      <c r="U102" s="107"/>
      <c r="V102" s="600"/>
      <c r="W102" s="601"/>
      <c r="X102" s="274"/>
      <c r="Y102" s="249"/>
    </row>
    <row r="103" spans="1:25" s="41" customFormat="1">
      <c r="A103" s="147"/>
      <c r="B103" s="147"/>
      <c r="P103" s="108"/>
      <c r="Q103" s="107"/>
      <c r="R103" s="107"/>
      <c r="S103" s="107"/>
      <c r="T103" s="107"/>
      <c r="U103" s="107"/>
      <c r="V103" s="600"/>
      <c r="W103" s="601"/>
      <c r="X103" s="274"/>
      <c r="Y103" s="249"/>
    </row>
    <row r="104" spans="1:25" s="41" customFormat="1">
      <c r="A104" s="147"/>
      <c r="B104" s="147"/>
      <c r="P104" s="108"/>
      <c r="Q104" s="107"/>
      <c r="R104" s="107"/>
      <c r="S104" s="107"/>
      <c r="T104" s="107"/>
      <c r="U104" s="107"/>
      <c r="V104" s="600"/>
      <c r="W104" s="601"/>
      <c r="X104" s="274"/>
      <c r="Y104" s="249"/>
    </row>
    <row r="105" spans="1:25" s="41" customFormat="1">
      <c r="A105" s="147"/>
      <c r="B105" s="147"/>
      <c r="P105" s="108"/>
      <c r="Q105" s="107"/>
      <c r="R105" s="107"/>
      <c r="S105" s="107"/>
      <c r="T105" s="107"/>
      <c r="U105" s="107"/>
      <c r="V105" s="600"/>
      <c r="W105" s="601"/>
      <c r="X105" s="274"/>
      <c r="Y105" s="249"/>
    </row>
    <row r="106" spans="1:25" ht="17.25" customHeight="1"/>
  </sheetData>
  <sheetProtection algorithmName="SHA-512" hashValue="UxYF7/Dp4NFOSKHgajLxZkvKyNm9/Jk1IGl2F8IkjsNRaRohEea9OeVj98kLyx8AuKWbc84XqZFyFDMu59+Mkw==" saltValue="cQ7Ffv3RTAEYFtIRR4k0FQ==" spinCount="100000" sheet="1" objects="1" scenarios="1"/>
  <mergeCells count="53">
    <mergeCell ref="B3:O3"/>
    <mergeCell ref="D7:G7"/>
    <mergeCell ref="K7:N7"/>
    <mergeCell ref="D8:E8"/>
    <mergeCell ref="F8:G8"/>
    <mergeCell ref="K8:M8"/>
    <mergeCell ref="O8:O9"/>
    <mergeCell ref="D9:E9"/>
    <mergeCell ref="F9:G9"/>
    <mergeCell ref="K9:M9"/>
    <mergeCell ref="D5:J6"/>
    <mergeCell ref="D10:E10"/>
    <mergeCell ref="F10:G10"/>
    <mergeCell ref="K10:M10"/>
    <mergeCell ref="D11:E11"/>
    <mergeCell ref="F11:G11"/>
    <mergeCell ref="K11:M11"/>
    <mergeCell ref="D12:E12"/>
    <mergeCell ref="F12:G12"/>
    <mergeCell ref="K12:M12"/>
    <mergeCell ref="C14:C15"/>
    <mergeCell ref="D14:D15"/>
    <mergeCell ref="E14:E15"/>
    <mergeCell ref="F14:F15"/>
    <mergeCell ref="G14:G15"/>
    <mergeCell ref="H14:H15"/>
    <mergeCell ref="K14:K15"/>
    <mergeCell ref="O32:O34"/>
    <mergeCell ref="L14:L15"/>
    <mergeCell ref="N14:N15"/>
    <mergeCell ref="O14:O15"/>
    <mergeCell ref="B22:B23"/>
    <mergeCell ref="C22:C23"/>
    <mergeCell ref="D22:D23"/>
    <mergeCell ref="E22:E23"/>
    <mergeCell ref="F22:F23"/>
    <mergeCell ref="G22:G23"/>
    <mergeCell ref="H22:H23"/>
    <mergeCell ref="K22:K23"/>
    <mergeCell ref="L22:L23"/>
    <mergeCell ref="N22:N23"/>
    <mergeCell ref="O22:O23"/>
    <mergeCell ref="O24:O31"/>
    <mergeCell ref="O66:O71"/>
    <mergeCell ref="O72:O77"/>
    <mergeCell ref="O78:O83"/>
    <mergeCell ref="O84:O88"/>
    <mergeCell ref="O35:O36"/>
    <mergeCell ref="O37:O41"/>
    <mergeCell ref="O42:O47"/>
    <mergeCell ref="O48:O53"/>
    <mergeCell ref="O54:O59"/>
    <mergeCell ref="O60:O65"/>
  </mergeCells>
  <phoneticPr fontId="3" type="noConversion"/>
  <conditionalFormatting sqref="C16:C20">
    <cfRule type="cellIs" dxfId="15" priority="3" operator="lessThan">
      <formula>6</formula>
    </cfRule>
    <cfRule type="cellIs" dxfId="14" priority="4" operator="lessThan">
      <formula>11</formula>
    </cfRule>
    <cfRule type="cellIs" dxfId="13" priority="5" operator="lessThan">
      <formula>21</formula>
    </cfRule>
  </conditionalFormatting>
  <conditionalFormatting sqref="B24:B88">
    <cfRule type="cellIs" dxfId="12" priority="2" operator="lessThan">
      <formula>6</formula>
    </cfRule>
    <cfRule type="cellIs" dxfId="11" priority="6" operator="lessThan">
      <formula>11</formula>
    </cfRule>
    <cfRule type="cellIs" dxfId="10" priority="7" operator="lessThan">
      <formula>21</formula>
    </cfRule>
  </conditionalFormatting>
  <conditionalFormatting sqref="D24:N88">
    <cfRule type="expression" dxfId="9" priority="1">
      <formula>MOD(ROW(),2)=0</formula>
    </cfRule>
  </conditionalFormatting>
  <conditionalFormatting sqref="D24:D88">
    <cfRule type="expression" dxfId="8" priority="8">
      <formula>$C24="O"</formula>
    </cfRule>
  </conditionalFormatting>
  <dataValidations count="4">
    <dataValidation type="list" allowBlank="1" showErrorMessage="1" sqref="C24:C88">
      <formula1>"O,X"</formula1>
    </dataValidation>
    <dataValidation type="decimal" operator="greaterThanOrEqual" allowBlank="1" showInputMessage="1" showErrorMessage="1" sqref="F10:G11 F8:G8">
      <formula1>0</formula1>
    </dataValidation>
    <dataValidation type="decimal" allowBlank="1" showInputMessage="1" showErrorMessage="1" sqref="F9:G9">
      <formula1>0</formula1>
      <formula2>100</formula2>
    </dataValidation>
    <dataValidation type="list" allowBlank="1" showInputMessage="1" showErrorMessage="1" sqref="N8 N10:N12">
      <formula1>"O,X"</formula1>
    </dataValidation>
  </dataValidations>
  <pageMargins left="0.7" right="0.7" top="0.75" bottom="0.75" header="0.3" footer="0.3"/>
  <pageSetup paperSize="9" orientation="portrait" horizontalDpi="4294967292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A1:X93"/>
  <sheetViews>
    <sheetView workbookViewId="0">
      <selection activeCell="I11" sqref="I11"/>
    </sheetView>
  </sheetViews>
  <sheetFormatPr defaultRowHeight="16.5"/>
  <cols>
    <col min="1" max="1" width="2.5" style="106" customWidth="1"/>
    <col min="2" max="2" width="4.75" style="106" customWidth="1"/>
    <col min="3" max="3" width="5.25" style="42" customWidth="1"/>
    <col min="4" max="4" width="21.375" style="42" customWidth="1"/>
    <col min="5" max="5" width="8.25" style="42" customWidth="1"/>
    <col min="6" max="6" width="11.5" style="42" customWidth="1"/>
    <col min="7" max="7" width="7.625" style="42" customWidth="1"/>
    <col min="8" max="8" width="9" style="42" customWidth="1"/>
    <col min="9" max="9" width="9.375" style="42" customWidth="1"/>
    <col min="10" max="10" width="9" style="42"/>
    <col min="11" max="11" width="11.125" style="42" customWidth="1"/>
    <col min="12" max="12" width="10.5" style="42" customWidth="1"/>
    <col min="13" max="13" width="12.875" style="42" customWidth="1"/>
    <col min="14" max="14" width="15.375" style="42" customWidth="1"/>
    <col min="15" max="15" width="11.75" style="42" customWidth="1"/>
    <col min="16" max="16" width="5.5" style="108" customWidth="1"/>
    <col min="17" max="17" width="4.25" style="107" customWidth="1"/>
    <col min="18" max="18" width="4" style="107" customWidth="1"/>
    <col min="19" max="19" width="5.375" style="107" customWidth="1"/>
    <col min="20" max="20" width="7.375" style="107" customWidth="1"/>
    <col min="21" max="21" width="4.875" style="107" customWidth="1"/>
    <col min="22" max="22" width="6.75" style="106" customWidth="1"/>
    <col min="23" max="23" width="6.25" style="470" customWidth="1"/>
    <col min="24" max="24" width="9" style="413"/>
    <col min="25" max="16384" width="9" style="42"/>
  </cols>
  <sheetData>
    <row r="1" spans="2:21" ht="6" customHeight="1"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2:21" ht="2.25" customHeight="1" thickBot="1"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2:21" ht="30.75" customHeight="1" thickBot="1">
      <c r="B3" s="683" t="s">
        <v>250</v>
      </c>
      <c r="C3" s="684"/>
      <c r="D3" s="684"/>
      <c r="E3" s="684"/>
      <c r="F3" s="684"/>
      <c r="G3" s="684"/>
      <c r="H3" s="684"/>
      <c r="I3" s="684"/>
      <c r="J3" s="684"/>
      <c r="K3" s="684"/>
      <c r="L3" s="684"/>
      <c r="M3" s="684"/>
      <c r="N3" s="684"/>
      <c r="O3" s="685"/>
    </row>
    <row r="4" spans="2:21" ht="17.100000000000001" customHeight="1">
      <c r="C4" s="113"/>
      <c r="D4" s="114" t="s">
        <v>20</v>
      </c>
      <c r="E4" s="41"/>
      <c r="F4" s="41"/>
      <c r="G4" s="41"/>
      <c r="H4" s="41"/>
      <c r="I4" s="48"/>
      <c r="J4" s="41"/>
      <c r="K4" s="48"/>
      <c r="L4" s="48"/>
      <c r="M4" s="68"/>
      <c r="N4" s="69"/>
      <c r="O4" s="69"/>
      <c r="P4" s="47" t="s">
        <v>211</v>
      </c>
      <c r="Q4" s="219" t="s">
        <v>214</v>
      </c>
    </row>
    <row r="5" spans="2:21" ht="17.100000000000001" customHeight="1">
      <c r="C5" s="113"/>
      <c r="D5" s="853" t="s">
        <v>285</v>
      </c>
      <c r="E5" s="853"/>
      <c r="F5" s="853"/>
      <c r="G5" s="853"/>
      <c r="H5" s="853"/>
      <c r="I5" s="853"/>
      <c r="J5" s="853"/>
      <c r="K5" s="116"/>
      <c r="L5" s="48"/>
      <c r="M5" s="70"/>
      <c r="N5" s="69"/>
      <c r="O5" s="69"/>
      <c r="P5" s="259">
        <v>0</v>
      </c>
      <c r="Q5" s="219">
        <v>0</v>
      </c>
    </row>
    <row r="6" spans="2:21" ht="24" customHeight="1" thickBot="1">
      <c r="C6" s="113"/>
      <c r="D6" s="853"/>
      <c r="E6" s="853"/>
      <c r="F6" s="853"/>
      <c r="G6" s="853"/>
      <c r="H6" s="853"/>
      <c r="I6" s="853"/>
      <c r="J6" s="853"/>
      <c r="K6" s="48"/>
      <c r="L6" s="48"/>
      <c r="M6" s="68"/>
      <c r="N6" s="69"/>
      <c r="O6" s="69"/>
      <c r="P6" s="259">
        <v>100</v>
      </c>
      <c r="Q6" s="219">
        <v>1500</v>
      </c>
    </row>
    <row r="7" spans="2:21" ht="24" customHeight="1" thickBot="1">
      <c r="C7" s="113"/>
      <c r="D7" s="697" t="s">
        <v>25</v>
      </c>
      <c r="E7" s="698"/>
      <c r="F7" s="698"/>
      <c r="G7" s="699"/>
      <c r="H7" s="41"/>
      <c r="I7" s="48"/>
      <c r="J7" s="41"/>
      <c r="K7" s="700" t="s">
        <v>26</v>
      </c>
      <c r="L7" s="701"/>
      <c r="M7" s="701"/>
      <c r="N7" s="702"/>
      <c r="O7" s="69"/>
      <c r="P7" s="259">
        <v>200</v>
      </c>
      <c r="Q7" s="219">
        <v>3000</v>
      </c>
    </row>
    <row r="8" spans="2:21" ht="18" customHeight="1">
      <c r="C8" s="41"/>
      <c r="D8" s="689" t="s">
        <v>0</v>
      </c>
      <c r="E8" s="690"/>
      <c r="F8" s="850">
        <f>'3사 추천요금제'!D5</f>
        <v>311</v>
      </c>
      <c r="G8" s="851"/>
      <c r="H8" s="90" t="str">
        <f>IF(OR(F8="",F9=""),"","망내 "&amp;ROUND(F8*F9/100,0)&amp;"분")</f>
        <v>망내 62분</v>
      </c>
      <c r="I8" s="146">
        <f>IF(OR(F8="",F9=""),"",F8*F9/100)</f>
        <v>62.2</v>
      </c>
      <c r="J8" s="41"/>
      <c r="K8" s="629" t="s">
        <v>86</v>
      </c>
      <c r="L8" s="630"/>
      <c r="M8" s="630"/>
      <c r="N8" s="597" t="str">
        <f>'3사 추천요금제'!K13</f>
        <v>X</v>
      </c>
      <c r="O8" s="71"/>
      <c r="P8" s="259">
        <v>500</v>
      </c>
      <c r="Q8" s="219">
        <v>6000</v>
      </c>
    </row>
    <row r="9" spans="2:21" ht="18" customHeight="1">
      <c r="C9" s="41"/>
      <c r="D9" s="691" t="s">
        <v>98</v>
      </c>
      <c r="E9" s="692"/>
      <c r="F9" s="846">
        <f>'3사 추천요금제'!D13</f>
        <v>20</v>
      </c>
      <c r="G9" s="847"/>
      <c r="H9" s="90" t="str">
        <f>IF(OR(F8="",F9=""),"","망외 "&amp;ROUND(F8*(1-F9/100),0)&amp;"분")</f>
        <v>망외 249분</v>
      </c>
      <c r="I9" s="146">
        <f>IF(OR(F8="",F9=""),"",F8*(100-F9)/100)</f>
        <v>248.8</v>
      </c>
      <c r="J9" s="41"/>
      <c r="K9" s="635" t="s">
        <v>48</v>
      </c>
      <c r="L9" s="636"/>
      <c r="M9" s="636"/>
      <c r="N9" s="67" t="str">
        <f>'3사 추천요금제'!K5</f>
        <v>O</v>
      </c>
      <c r="O9" s="71"/>
      <c r="P9" s="259">
        <v>700</v>
      </c>
      <c r="Q9" s="219">
        <v>8000</v>
      </c>
    </row>
    <row r="10" spans="2:21" ht="18" customHeight="1" thickBot="1">
      <c r="C10" s="41"/>
      <c r="D10" s="693" t="s">
        <v>1</v>
      </c>
      <c r="E10" s="694"/>
      <c r="F10" s="846">
        <f>'3사 추천요금제'!D6</f>
        <v>201</v>
      </c>
      <c r="G10" s="847"/>
      <c r="H10" s="41"/>
      <c r="I10" s="41"/>
      <c r="J10" s="41"/>
      <c r="K10" s="711" t="s">
        <v>17</v>
      </c>
      <c r="L10" s="712"/>
      <c r="M10" s="712"/>
      <c r="N10" s="598" t="str">
        <f>'3사 추천요금제'!K6</f>
        <v>X</v>
      </c>
      <c r="O10" s="73"/>
      <c r="P10" s="259">
        <v>1000</v>
      </c>
      <c r="Q10" s="260">
        <v>10000</v>
      </c>
    </row>
    <row r="11" spans="2:21" ht="18" customHeight="1">
      <c r="C11" s="41"/>
      <c r="D11" s="693" t="s">
        <v>2</v>
      </c>
      <c r="E11" s="694"/>
      <c r="F11" s="846">
        <f>'3사 추천요금제'!D7</f>
        <v>2000</v>
      </c>
      <c r="G11" s="847"/>
      <c r="H11" s="41"/>
      <c r="I11" s="41"/>
      <c r="J11" s="41"/>
      <c r="K11" s="643" t="str">
        <f>"데이터이용량 "&amp;F11&amp;"MB 이상만 나열하기"</f>
        <v>데이터이용량 2000MB 이상만 나열하기</v>
      </c>
      <c r="L11" s="644"/>
      <c r="M11" s="644"/>
      <c r="N11" s="599" t="str">
        <f>'3사 추천요금제'!K7</f>
        <v>X</v>
      </c>
      <c r="O11" s="72"/>
    </row>
    <row r="12" spans="2:21" ht="18" customHeight="1" thickBot="1">
      <c r="C12" s="41"/>
      <c r="D12" s="645" t="s">
        <v>107</v>
      </c>
      <c r="E12" s="646"/>
      <c r="F12" s="848">
        <f>'3사 추천요금제'!D8</f>
        <v>0</v>
      </c>
      <c r="G12" s="849"/>
      <c r="H12" s="258">
        <f>VLOOKUP(F12,P5:Q10,2)</f>
        <v>0</v>
      </c>
      <c r="I12" s="41"/>
      <c r="J12" s="41"/>
      <c r="K12" s="649" t="s">
        <v>122</v>
      </c>
      <c r="L12" s="650"/>
      <c r="M12" s="650"/>
      <c r="N12" s="598" t="str">
        <f>'3사 추천요금제'!K8</f>
        <v>X</v>
      </c>
      <c r="O12" s="68"/>
      <c r="P12" s="108">
        <f>IF(N12="O",1,0)</f>
        <v>0</v>
      </c>
    </row>
    <row r="13" spans="2:21" ht="17.25" customHeight="1" thickBot="1">
      <c r="C13" s="41"/>
      <c r="D13" s="40" t="s">
        <v>22</v>
      </c>
      <c r="E13" s="41"/>
      <c r="F13" s="41"/>
      <c r="G13" s="118"/>
      <c r="I13" s="41"/>
      <c r="J13" s="41"/>
      <c r="K13" s="41"/>
      <c r="L13" s="41"/>
      <c r="M13" s="68"/>
      <c r="N13" s="68"/>
      <c r="O13" s="68"/>
      <c r="P13" s="108">
        <f>IF(N11="O",2,0)</f>
        <v>0</v>
      </c>
      <c r="Q13" s="107">
        <f>P12+P13</f>
        <v>0</v>
      </c>
    </row>
    <row r="14" spans="2:21" ht="16.5" customHeight="1">
      <c r="C14" s="715" t="s">
        <v>19</v>
      </c>
      <c r="D14" s="751" t="s">
        <v>3</v>
      </c>
      <c r="E14" s="749" t="s">
        <v>4</v>
      </c>
      <c r="F14" s="749" t="s">
        <v>21</v>
      </c>
      <c r="G14" s="749" t="s">
        <v>5</v>
      </c>
      <c r="H14" s="749" t="s">
        <v>6</v>
      </c>
      <c r="I14" s="468" t="s">
        <v>7</v>
      </c>
      <c r="J14" s="166" t="s">
        <v>8</v>
      </c>
      <c r="K14" s="760" t="s">
        <v>13</v>
      </c>
      <c r="L14" s="762" t="s">
        <v>14</v>
      </c>
      <c r="M14" s="518" t="str">
        <f>M22</f>
        <v>실제요금</v>
      </c>
      <c r="N14" s="764" t="s">
        <v>9</v>
      </c>
      <c r="O14" s="766" t="s">
        <v>10</v>
      </c>
      <c r="P14" s="261"/>
      <c r="Q14" s="47"/>
      <c r="R14" s="47"/>
      <c r="S14" s="47"/>
      <c r="T14" s="47"/>
      <c r="U14" s="47"/>
    </row>
    <row r="15" spans="2:21" ht="17.25" thickBot="1">
      <c r="C15" s="716"/>
      <c r="D15" s="752"/>
      <c r="E15" s="750"/>
      <c r="F15" s="750"/>
      <c r="G15" s="753"/>
      <c r="H15" s="750"/>
      <c r="I15" s="167" t="str">
        <f>I23</f>
        <v>(24개월)</v>
      </c>
      <c r="J15" s="168" t="s">
        <v>11</v>
      </c>
      <c r="K15" s="761"/>
      <c r="L15" s="763"/>
      <c r="M15" s="519" t="str">
        <f>M23</f>
        <v>(부가세포함)</v>
      </c>
      <c r="N15" s="765"/>
      <c r="O15" s="767"/>
      <c r="P15" s="261"/>
      <c r="Q15" s="47"/>
      <c r="R15" s="47"/>
      <c r="S15" s="47"/>
      <c r="T15" s="47"/>
      <c r="U15" s="47"/>
    </row>
    <row r="16" spans="2:21">
      <c r="C16" s="44">
        <f>IF(COUNT($U$24:$U$74)&gt;=1,VLOOKUP(SMALL($U$24:$U$74,1),$U$24:$U$74,1,FALSE),"")</f>
        <v>1</v>
      </c>
      <c r="D16" s="24" t="str">
        <f>IF($C$16="","",VLOOKUP($C$16,$B$24:$N$74,COLUMN()-1,FALSE))</f>
        <v>LTE 선택형 통화 300분</v>
      </c>
      <c r="E16" s="9">
        <f t="shared" ref="E16:N16" si="0">IF($C$16="","",VLOOKUP($C$16,$B$24:$N$74,COLUMN()-1,FALSE))</f>
        <v>44500</v>
      </c>
      <c r="F16" s="141">
        <f t="shared" si="0"/>
        <v>300</v>
      </c>
      <c r="G16" s="34" t="str">
        <f t="shared" si="0"/>
        <v>50(무료)</v>
      </c>
      <c r="H16" s="9">
        <f t="shared" si="0"/>
        <v>250</v>
      </c>
      <c r="I16" s="9">
        <f t="shared" si="0"/>
        <v>10500</v>
      </c>
      <c r="J16" s="17">
        <f t="shared" si="0"/>
        <v>37400</v>
      </c>
      <c r="K16" s="74">
        <f t="shared" si="0"/>
        <v>1188</v>
      </c>
      <c r="L16" s="75">
        <f t="shared" si="0"/>
        <v>3020</v>
      </c>
      <c r="M16" s="10">
        <f t="shared" si="0"/>
        <v>42028.800000000003</v>
      </c>
      <c r="N16" s="11" t="str">
        <f t="shared" si="0"/>
        <v>데이터(1.75GB) 부족</v>
      </c>
      <c r="O16" s="119"/>
      <c r="P16" s="261"/>
      <c r="Q16" s="47"/>
      <c r="R16" s="47"/>
      <c r="S16" s="47"/>
      <c r="T16" s="47"/>
      <c r="U16" s="47"/>
    </row>
    <row r="17" spans="1:23">
      <c r="C17" s="45">
        <f>IF(COUNT($U$24:$U$74)&gt;=2,VLOOKUP(SMALL($U$24:$U$74,2),$U$24:$U$74,1,FALSE),"")</f>
        <v>2</v>
      </c>
      <c r="D17" s="60" t="str">
        <f>IF($C$17="","",VLOOKUP($C$17,$B$24:$N$74,COLUMN()-1,FALSE))</f>
        <v>Single LTE 망내 34</v>
      </c>
      <c r="E17" s="61">
        <f t="shared" ref="E17:N17" si="1">IF($C$17="","",VLOOKUP($C$17,$B$24:$N$74,COLUMN()-1,FALSE))</f>
        <v>34000</v>
      </c>
      <c r="F17" s="142">
        <f t="shared" si="1"/>
        <v>115</v>
      </c>
      <c r="G17" s="62" t="str">
        <f t="shared" si="1"/>
        <v>무제한</v>
      </c>
      <c r="H17" s="61">
        <f t="shared" si="1"/>
        <v>750</v>
      </c>
      <c r="I17" s="61">
        <f t="shared" si="1"/>
        <v>7000</v>
      </c>
      <c r="J17" s="63">
        <f t="shared" si="1"/>
        <v>29700.000000000004</v>
      </c>
      <c r="K17" s="76">
        <f t="shared" si="1"/>
        <v>13647.6</v>
      </c>
      <c r="L17" s="77">
        <f t="shared" si="1"/>
        <v>0</v>
      </c>
      <c r="M17" s="64">
        <f t="shared" si="1"/>
        <v>44712.360000000008</v>
      </c>
      <c r="N17" s="65" t="str">
        <f t="shared" si="1"/>
        <v>데이터(1.25GB) 부족</v>
      </c>
      <c r="O17" s="66">
        <f>IF(OR(M16="",M17=""),"",M17-M16)</f>
        <v>2683.5600000000049</v>
      </c>
      <c r="P17" s="261"/>
      <c r="Q17" s="47"/>
      <c r="R17" s="47"/>
      <c r="S17" s="47"/>
      <c r="T17" s="47"/>
      <c r="U17" s="47"/>
    </row>
    <row r="18" spans="1:23">
      <c r="C18" s="45">
        <f>IF(COUNT($U$24:$U$74)&gt;=3,VLOOKUP(SMALL($U$24:$U$74,3),$U$24:$U$74,1,FALSE),"")</f>
        <v>3</v>
      </c>
      <c r="D18" s="25" t="str">
        <f>IF($C$18="","",VLOOKUP($C$18,$B$24:$N$74,COLUMN()-1,FALSE))</f>
        <v>LTE 선택형 통화 300분</v>
      </c>
      <c r="E18" s="1">
        <f t="shared" ref="E18:N18" si="2">IF($C$18="","",VLOOKUP($C$18,$B$24:$N$74,COLUMN()-1,FALSE))</f>
        <v>47000</v>
      </c>
      <c r="F18" s="143">
        <f t="shared" si="2"/>
        <v>300</v>
      </c>
      <c r="G18" s="35" t="str">
        <f t="shared" si="2"/>
        <v>50(무료)</v>
      </c>
      <c r="H18" s="1">
        <f t="shared" si="2"/>
        <v>500</v>
      </c>
      <c r="I18" s="1">
        <f t="shared" si="2"/>
        <v>10500</v>
      </c>
      <c r="J18" s="18">
        <f t="shared" si="2"/>
        <v>40150</v>
      </c>
      <c r="K18" s="78">
        <f t="shared" si="2"/>
        <v>1188</v>
      </c>
      <c r="L18" s="79">
        <f t="shared" si="2"/>
        <v>3020</v>
      </c>
      <c r="M18" s="12">
        <f t="shared" si="2"/>
        <v>44778.8</v>
      </c>
      <c r="N18" s="13" t="str">
        <f t="shared" si="2"/>
        <v>데이터(1.5GB) 부족</v>
      </c>
      <c r="O18" s="2">
        <f t="shared" ref="O18:O20" si="3">IF(OR(M17="",M18=""),"",M18-M17)</f>
        <v>66.439999999995052</v>
      </c>
      <c r="P18" s="261"/>
      <c r="Q18" s="47"/>
      <c r="R18" s="47"/>
      <c r="S18" s="47"/>
      <c r="T18" s="47"/>
      <c r="U18" s="47"/>
    </row>
    <row r="19" spans="1:23">
      <c r="C19" s="45">
        <f>IF(COUNT($U$24:$U$74)&gt;=4,VLOOKUP(SMALL($U$24:$U$74,4),$U$24:$U$74,1,FALSE),"")</f>
        <v>4</v>
      </c>
      <c r="D19" s="60" t="str">
        <f>IF($C$19="","",VLOOKUP($C$19,$B$24:$N$74,COLUMN()-1,FALSE))</f>
        <v>Single LTE 망내 42</v>
      </c>
      <c r="E19" s="61">
        <f t="shared" ref="E19:N19" si="4">IF($C$19="","",VLOOKUP($C$19,$B$24:$N$74,COLUMN()-1,FALSE))</f>
        <v>42000</v>
      </c>
      <c r="F19" s="142">
        <f t="shared" si="4"/>
        <v>148</v>
      </c>
      <c r="G19" s="62" t="str">
        <f t="shared" si="4"/>
        <v>무제한</v>
      </c>
      <c r="H19" s="61">
        <f t="shared" si="4"/>
        <v>1400</v>
      </c>
      <c r="I19" s="61">
        <f t="shared" si="4"/>
        <v>10500</v>
      </c>
      <c r="J19" s="63">
        <f t="shared" si="4"/>
        <v>34650</v>
      </c>
      <c r="K19" s="76">
        <f t="shared" si="4"/>
        <v>10281.600000000002</v>
      </c>
      <c r="L19" s="77">
        <f t="shared" si="4"/>
        <v>0</v>
      </c>
      <c r="M19" s="64">
        <f t="shared" si="4"/>
        <v>45959.76</v>
      </c>
      <c r="N19" s="65" t="str">
        <f t="shared" si="4"/>
        <v>데이터(0.6GB) 부족</v>
      </c>
      <c r="O19" s="66">
        <f t="shared" si="3"/>
        <v>1180.9599999999991</v>
      </c>
      <c r="P19" s="261"/>
      <c r="Q19" s="47"/>
      <c r="R19" s="47"/>
      <c r="S19" s="47"/>
      <c r="T19" s="47"/>
      <c r="U19" s="47"/>
    </row>
    <row r="20" spans="1:23" ht="17.25" thickBot="1">
      <c r="C20" s="46">
        <f>IF(COUNT($U$24:$U$74)&gt;=5,VLOOKUP(SMALL($U$24:$U$74,5),$U$24:$U$74,1,FALSE),"")</f>
        <v>5</v>
      </c>
      <c r="D20" s="26" t="str">
        <f>IF($C$20="","",VLOOKUP($C$20,$B$24:$N$74,COLUMN()-1,FALSE))</f>
        <v>LTE 망내 34</v>
      </c>
      <c r="E20" s="3">
        <f t="shared" ref="E20:N20" si="5">IF($C$20="","",VLOOKUP($C$20,$B$24:$N$74,COLUMN()-1,FALSE))</f>
        <v>34000</v>
      </c>
      <c r="F20" s="144">
        <f t="shared" si="5"/>
        <v>110</v>
      </c>
      <c r="G20" s="36" t="str">
        <f t="shared" si="5"/>
        <v>무제한</v>
      </c>
      <c r="H20" s="3">
        <f t="shared" si="5"/>
        <v>750</v>
      </c>
      <c r="I20" s="3">
        <f t="shared" si="5"/>
        <v>7000</v>
      </c>
      <c r="J20" s="19">
        <f t="shared" si="5"/>
        <v>29700.000000000004</v>
      </c>
      <c r="K20" s="80">
        <f t="shared" si="5"/>
        <v>14990.4</v>
      </c>
      <c r="L20" s="81">
        <f t="shared" si="5"/>
        <v>0</v>
      </c>
      <c r="M20" s="14">
        <f t="shared" si="5"/>
        <v>46189.440000000002</v>
      </c>
      <c r="N20" s="15" t="str">
        <f t="shared" si="5"/>
        <v>데이터(1.25GB) 부족</v>
      </c>
      <c r="O20" s="4">
        <f t="shared" si="3"/>
        <v>229.68000000000029</v>
      </c>
      <c r="P20" s="261"/>
      <c r="Q20" s="47"/>
      <c r="R20" s="47"/>
      <c r="S20" s="47"/>
      <c r="T20" s="47"/>
      <c r="U20" s="47"/>
    </row>
    <row r="21" spans="1:23" ht="23.1" customHeight="1" thickBot="1">
      <c r="C21" s="41"/>
      <c r="D21" s="444" t="str">
        <f>"총 "&amp;COUNTA(D24:D74)&amp;"요금제 중 검색 제외된 요금제는 "&amp;COUNTIF(C24:C74,"O")&amp;"개입니다.  (신규가입 불가능한 요금제는 왼쪽 2번째열에서 O를 선택해주세요)"</f>
        <v>총 51요금제 중 검색 제외된 요금제는 6개입니다.  (신규가입 불가능한 요금제는 왼쪽 2번째열에서 O를 선택해주세요)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261"/>
      <c r="Q21" s="47"/>
      <c r="R21" s="47"/>
      <c r="S21" s="47"/>
      <c r="T21" s="47"/>
      <c r="U21" s="47"/>
    </row>
    <row r="22" spans="1:23" ht="16.5" customHeight="1">
      <c r="B22" s="41"/>
      <c r="C22" s="745" t="s">
        <v>245</v>
      </c>
      <c r="D22" s="754" t="s">
        <v>3</v>
      </c>
      <c r="E22" s="756" t="s">
        <v>4</v>
      </c>
      <c r="F22" s="756" t="s">
        <v>21</v>
      </c>
      <c r="G22" s="756" t="s">
        <v>5</v>
      </c>
      <c r="H22" s="756" t="s">
        <v>6</v>
      </c>
      <c r="I22" s="469" t="s">
        <v>7</v>
      </c>
      <c r="J22" s="169" t="s">
        <v>8</v>
      </c>
      <c r="K22" s="760" t="s">
        <v>13</v>
      </c>
      <c r="L22" s="762" t="s">
        <v>14</v>
      </c>
      <c r="M22" s="518" t="s">
        <v>244</v>
      </c>
      <c r="N22" s="764" t="s">
        <v>9</v>
      </c>
      <c r="O22" s="734"/>
      <c r="P22" s="261" t="s">
        <v>67</v>
      </c>
      <c r="Q22" s="47"/>
      <c r="R22" s="47"/>
      <c r="S22" s="47"/>
      <c r="T22" s="47"/>
      <c r="U22" s="47"/>
    </row>
    <row r="23" spans="1:23" ht="17.25" customHeight="1" thickBot="1">
      <c r="B23" s="120" t="s">
        <v>12</v>
      </c>
      <c r="C23" s="746"/>
      <c r="D23" s="755"/>
      <c r="E23" s="757"/>
      <c r="F23" s="757"/>
      <c r="G23" s="758"/>
      <c r="H23" s="757"/>
      <c r="I23" s="168" t="str">
        <f>IF(N8="O","약정+한방에yo","(24개월)")</f>
        <v>(24개월)</v>
      </c>
      <c r="J23" s="170" t="s">
        <v>11</v>
      </c>
      <c r="K23" s="768"/>
      <c r="L23" s="769"/>
      <c r="M23" s="517" t="str">
        <f>"(부가세"&amp;IF($N$10="O",",복지포함)","포함)")</f>
        <v>(부가세포함)</v>
      </c>
      <c r="N23" s="770"/>
      <c r="O23" s="735"/>
      <c r="P23" s="149"/>
      <c r="Q23" s="150" t="s">
        <v>68</v>
      </c>
      <c r="R23" s="150" t="s">
        <v>69</v>
      </c>
      <c r="S23" s="150" t="s">
        <v>9</v>
      </c>
      <c r="T23" s="260" t="s">
        <v>70</v>
      </c>
      <c r="U23" s="262" t="s">
        <v>66</v>
      </c>
      <c r="V23" s="471" t="s">
        <v>85</v>
      </c>
      <c r="W23" s="470" t="s">
        <v>244</v>
      </c>
    </row>
    <row r="24" spans="1:23" ht="17.100000000000001" customHeight="1">
      <c r="A24" s="109">
        <v>7000</v>
      </c>
      <c r="B24" s="121">
        <f>IF(C24="O","",RANK(W24,W$24:W$74,1)+COUNTIF($W$24:W24,W24)-1)</f>
        <v>5</v>
      </c>
      <c r="C24" s="474"/>
      <c r="D24" s="155" t="s">
        <v>75</v>
      </c>
      <c r="E24" s="182">
        <v>34000</v>
      </c>
      <c r="F24" s="156">
        <v>110</v>
      </c>
      <c r="G24" s="126" t="s">
        <v>15</v>
      </c>
      <c r="H24" s="183">
        <v>750</v>
      </c>
      <c r="I24" s="20">
        <f t="shared" ref="I24:I74" si="6">IF($N$8="X",A24,A24+V24)</f>
        <v>7000</v>
      </c>
      <c r="J24" s="52">
        <f t="shared" ref="J24:J48" si="7">IF($N$10="X",(E24-I24)*1.1,(E24-I24)*1.1*0.65)</f>
        <v>29700.000000000004</v>
      </c>
      <c r="K24" s="82">
        <f>IF(F$8*(100-F$9)/100&lt;F24,0,((F$8*(100-F$9)/100)-F24)*60*1.8)*IF($N$10="O",0.65,1)</f>
        <v>14990.4</v>
      </c>
      <c r="L24" s="83">
        <v>0</v>
      </c>
      <c r="M24" s="53">
        <f>J24+(K24+L24)*1.1</f>
        <v>46189.440000000002</v>
      </c>
      <c r="N24" s="21" t="str">
        <f>IF(H24="무제한","",IF(($F$11-H24)&gt;0,"데이터("&amp;P24/1000&amp;"GB) 부족",""))</f>
        <v>데이터(1.25GB) 부족</v>
      </c>
      <c r="O24" s="670" t="s">
        <v>96</v>
      </c>
      <c r="P24" s="151">
        <f t="shared" ref="P24:P72" si="8">$F$11-H24</f>
        <v>1250</v>
      </c>
      <c r="Q24" s="152">
        <f t="shared" ref="Q24:Q74" si="9">B24</f>
        <v>5</v>
      </c>
      <c r="R24" s="47">
        <f t="shared" ref="R24:R48" si="10">B24</f>
        <v>5</v>
      </c>
      <c r="S24" s="47" t="str">
        <f t="shared" ref="S24:S74" si="11">IF($F$11&lt;=H24,B24,"")</f>
        <v/>
      </c>
      <c r="T24" s="47" t="str">
        <f>S24</f>
        <v/>
      </c>
      <c r="U24" s="47">
        <f>VLOOKUP(B24,$B$24:$T$74,$Q$13+16,FALSE)</f>
        <v>5</v>
      </c>
      <c r="V24" s="153">
        <v>5000</v>
      </c>
      <c r="W24" s="472">
        <f>IF(C24="O","",M24)</f>
        <v>46189.440000000002</v>
      </c>
    </row>
    <row r="25" spans="1:23" ht="17.100000000000001" customHeight="1">
      <c r="A25" s="109">
        <v>10500</v>
      </c>
      <c r="B25" s="121">
        <f>IF(C25="O","",RANK(W25,W$24:W$74,1)+COUNTIF($W$24:W25,W25)-1)</f>
        <v>8</v>
      </c>
      <c r="C25" s="475"/>
      <c r="D25" s="427" t="s">
        <v>76</v>
      </c>
      <c r="E25" s="428">
        <v>42000</v>
      </c>
      <c r="F25" s="429">
        <v>140</v>
      </c>
      <c r="G25" s="127" t="s">
        <v>15</v>
      </c>
      <c r="H25" s="185">
        <v>1400</v>
      </c>
      <c r="I25" s="22">
        <f t="shared" si="6"/>
        <v>10500</v>
      </c>
      <c r="J25" s="38">
        <f t="shared" si="7"/>
        <v>34650</v>
      </c>
      <c r="K25" s="84">
        <f t="shared" ref="K25:K26" si="12">IF(F$8*(100-F$9)/100&lt;F25,0,((F$8*(100-F$9)/100)-F25)*60*1.8)*IF($N$10="O",0.65,1)</f>
        <v>11750.400000000001</v>
      </c>
      <c r="L25" s="85">
        <v>0</v>
      </c>
      <c r="M25" s="39">
        <f t="shared" ref="M25:M74" si="13">J25+(K25+L25)*1.1</f>
        <v>47575.44</v>
      </c>
      <c r="N25" s="23" t="str">
        <f t="shared" ref="N25:N74" si="14">IF(H25="무제한","",IF(($F$11-H25)&gt;0,"데이터("&amp;P25/1000&amp;"GB) 부족",""))</f>
        <v>데이터(0.6GB) 부족</v>
      </c>
      <c r="O25" s="671"/>
      <c r="P25" s="151">
        <f t="shared" si="8"/>
        <v>600</v>
      </c>
      <c r="Q25" s="152">
        <f t="shared" si="9"/>
        <v>8</v>
      </c>
      <c r="R25" s="47">
        <f t="shared" si="10"/>
        <v>8</v>
      </c>
      <c r="S25" s="47" t="str">
        <f t="shared" si="11"/>
        <v/>
      </c>
      <c r="T25" s="47" t="str">
        <f t="shared" ref="T25:T48" si="15">S25</f>
        <v/>
      </c>
      <c r="U25" s="47">
        <f t="shared" ref="U25:U74" si="16">VLOOKUP(B25,$B$24:$T$74,$Q$13+16,FALSE)</f>
        <v>8</v>
      </c>
      <c r="V25" s="153">
        <v>5000</v>
      </c>
      <c r="W25" s="472">
        <f t="shared" ref="W25:W74" si="17">IF(C25="O","",M25)</f>
        <v>47575.44</v>
      </c>
    </row>
    <row r="26" spans="1:23" ht="17.100000000000001" customHeight="1" thickBot="1">
      <c r="A26" s="109">
        <v>13500</v>
      </c>
      <c r="B26" s="121">
        <f>IF(C26="O","",RANK(W26,W$24:W$74,1)+COUNTIF($W$24:W26,W26)-1)</f>
        <v>15</v>
      </c>
      <c r="C26" s="476"/>
      <c r="D26" s="158" t="s">
        <v>77</v>
      </c>
      <c r="E26" s="428">
        <v>52000</v>
      </c>
      <c r="F26" s="159">
        <v>195</v>
      </c>
      <c r="G26" s="160" t="s">
        <v>15</v>
      </c>
      <c r="H26" s="246">
        <v>2100</v>
      </c>
      <c r="I26" s="161">
        <f t="shared" si="6"/>
        <v>13500</v>
      </c>
      <c r="J26" s="162">
        <f t="shared" si="7"/>
        <v>42350</v>
      </c>
      <c r="K26" s="88">
        <f t="shared" si="12"/>
        <v>5810.4000000000015</v>
      </c>
      <c r="L26" s="100">
        <v>0</v>
      </c>
      <c r="M26" s="163">
        <f t="shared" si="13"/>
        <v>48741.440000000002</v>
      </c>
      <c r="N26" s="164" t="str">
        <f t="shared" si="14"/>
        <v/>
      </c>
      <c r="O26" s="671"/>
      <c r="P26" s="151">
        <f t="shared" si="8"/>
        <v>-100</v>
      </c>
      <c r="Q26" s="152">
        <f t="shared" si="9"/>
        <v>15</v>
      </c>
      <c r="R26" s="47">
        <f t="shared" si="10"/>
        <v>15</v>
      </c>
      <c r="S26" s="47">
        <f t="shared" si="11"/>
        <v>15</v>
      </c>
      <c r="T26" s="47">
        <f t="shared" si="15"/>
        <v>15</v>
      </c>
      <c r="U26" s="47">
        <f t="shared" si="16"/>
        <v>15</v>
      </c>
      <c r="V26" s="153">
        <v>5000</v>
      </c>
      <c r="W26" s="472">
        <f t="shared" si="17"/>
        <v>48741.440000000002</v>
      </c>
    </row>
    <row r="27" spans="1:23" ht="17.100000000000001" customHeight="1">
      <c r="A27" s="109">
        <v>18000</v>
      </c>
      <c r="B27" s="121">
        <f>IF(C27="O","",RANK(W27,W$24:W$74,1)+COUNTIF($W$24:W27,W27)-1)</f>
        <v>25</v>
      </c>
      <c r="C27" s="474"/>
      <c r="D27" s="122" t="s">
        <v>78</v>
      </c>
      <c r="E27" s="183">
        <v>69000</v>
      </c>
      <c r="F27" s="165" t="s">
        <v>79</v>
      </c>
      <c r="G27" s="126" t="s">
        <v>15</v>
      </c>
      <c r="H27" s="183">
        <v>5000</v>
      </c>
      <c r="I27" s="20">
        <f t="shared" si="6"/>
        <v>18000</v>
      </c>
      <c r="J27" s="52">
        <f t="shared" si="7"/>
        <v>56100.000000000007</v>
      </c>
      <c r="K27" s="82">
        <f>IF(F$8*(100-F$9)/100&lt;F27,0,((F$8*(100-F$9)/100)-F27)*60*1.8)*IF($N$10="O",0.65,1)</f>
        <v>0</v>
      </c>
      <c r="L27" s="83">
        <v>0</v>
      </c>
      <c r="M27" s="53">
        <f t="shared" si="13"/>
        <v>56100.000000000007</v>
      </c>
      <c r="N27" s="21" t="str">
        <f t="shared" si="14"/>
        <v/>
      </c>
      <c r="O27" s="670" t="s">
        <v>97</v>
      </c>
      <c r="P27" s="151">
        <f t="shared" si="8"/>
        <v>-3000</v>
      </c>
      <c r="Q27" s="152">
        <f t="shared" si="9"/>
        <v>25</v>
      </c>
      <c r="R27" s="47">
        <f t="shared" si="10"/>
        <v>25</v>
      </c>
      <c r="S27" s="47">
        <f t="shared" si="11"/>
        <v>25</v>
      </c>
      <c r="T27" s="47">
        <f t="shared" si="15"/>
        <v>25</v>
      </c>
      <c r="U27" s="47">
        <f t="shared" si="16"/>
        <v>25</v>
      </c>
      <c r="V27" s="153">
        <v>8000</v>
      </c>
      <c r="W27" s="472">
        <f t="shared" si="17"/>
        <v>56100.000000000007</v>
      </c>
    </row>
    <row r="28" spans="1:23" ht="17.100000000000001" customHeight="1">
      <c r="A28" s="109">
        <v>21000</v>
      </c>
      <c r="B28" s="121">
        <f>IF(C28="O","",RANK(W28,W$24:W$74,1)+COUNTIF($W$24:W28,W28)-1)</f>
        <v>34</v>
      </c>
      <c r="C28" s="475"/>
      <c r="D28" s="37" t="s">
        <v>80</v>
      </c>
      <c r="E28" s="185">
        <v>79000</v>
      </c>
      <c r="F28" s="430" t="s">
        <v>79</v>
      </c>
      <c r="G28" s="127" t="s">
        <v>15</v>
      </c>
      <c r="H28" s="185">
        <v>8000</v>
      </c>
      <c r="I28" s="22">
        <f t="shared" si="6"/>
        <v>21000</v>
      </c>
      <c r="J28" s="38">
        <f t="shared" si="7"/>
        <v>63800.000000000007</v>
      </c>
      <c r="K28" s="84">
        <f t="shared" ref="K28:K31" si="18">IF(F$8*(100-F$9)/100&lt;F28,0,((F$8*(100-F$9)/100)-F28)*60*1.8)*IF($N$10="O",0.65,1)</f>
        <v>0</v>
      </c>
      <c r="L28" s="85">
        <v>0</v>
      </c>
      <c r="M28" s="39">
        <f t="shared" si="13"/>
        <v>63800.000000000007</v>
      </c>
      <c r="N28" s="23" t="str">
        <f t="shared" si="14"/>
        <v/>
      </c>
      <c r="O28" s="733"/>
      <c r="P28" s="151">
        <f t="shared" si="8"/>
        <v>-6000</v>
      </c>
      <c r="Q28" s="152">
        <f t="shared" si="9"/>
        <v>34</v>
      </c>
      <c r="R28" s="47">
        <f t="shared" si="10"/>
        <v>34</v>
      </c>
      <c r="S28" s="47">
        <f t="shared" si="11"/>
        <v>34</v>
      </c>
      <c r="T28" s="47">
        <f t="shared" si="15"/>
        <v>34</v>
      </c>
      <c r="U28" s="47">
        <f t="shared" si="16"/>
        <v>34</v>
      </c>
      <c r="V28" s="153">
        <v>8000</v>
      </c>
      <c r="W28" s="472">
        <f t="shared" si="17"/>
        <v>63800.000000000007</v>
      </c>
    </row>
    <row r="29" spans="1:23" ht="17.100000000000001" customHeight="1">
      <c r="A29" s="109">
        <v>23000</v>
      </c>
      <c r="B29" s="121">
        <f>IF(C29="O","",RANK(W29,W$24:W$74,1)+COUNTIF($W$24:W29,W29)-1)</f>
        <v>40</v>
      </c>
      <c r="C29" s="475"/>
      <c r="D29" s="37" t="s">
        <v>81</v>
      </c>
      <c r="E29" s="185">
        <v>89000</v>
      </c>
      <c r="F29" s="430" t="s">
        <v>82</v>
      </c>
      <c r="G29" s="127" t="s">
        <v>15</v>
      </c>
      <c r="H29" s="185">
        <v>12000</v>
      </c>
      <c r="I29" s="22">
        <f t="shared" si="6"/>
        <v>23000</v>
      </c>
      <c r="J29" s="38">
        <f t="shared" si="7"/>
        <v>72600</v>
      </c>
      <c r="K29" s="84">
        <f t="shared" si="18"/>
        <v>0</v>
      </c>
      <c r="L29" s="85">
        <v>0</v>
      </c>
      <c r="M29" s="39">
        <f t="shared" si="13"/>
        <v>72600</v>
      </c>
      <c r="N29" s="23" t="str">
        <f t="shared" si="14"/>
        <v/>
      </c>
      <c r="O29" s="733"/>
      <c r="P29" s="151">
        <f t="shared" si="8"/>
        <v>-10000</v>
      </c>
      <c r="Q29" s="152">
        <f t="shared" si="9"/>
        <v>40</v>
      </c>
      <c r="R29" s="47">
        <f t="shared" si="10"/>
        <v>40</v>
      </c>
      <c r="S29" s="47">
        <f t="shared" si="11"/>
        <v>40</v>
      </c>
      <c r="T29" s="47">
        <f t="shared" si="15"/>
        <v>40</v>
      </c>
      <c r="U29" s="47">
        <f t="shared" si="16"/>
        <v>40</v>
      </c>
      <c r="V29" s="153">
        <v>8000</v>
      </c>
      <c r="W29" s="472">
        <f t="shared" si="17"/>
        <v>72600</v>
      </c>
    </row>
    <row r="30" spans="1:23" ht="17.100000000000001" customHeight="1">
      <c r="A30" s="109">
        <v>23000</v>
      </c>
      <c r="B30" s="121">
        <f>IF(C30="O","",RANK(W30,W$24:W$74,1)+COUNTIF($W$24:W30,W30)-1)</f>
        <v>42</v>
      </c>
      <c r="C30" s="475"/>
      <c r="D30" s="37" t="s">
        <v>83</v>
      </c>
      <c r="E30" s="185">
        <v>99000</v>
      </c>
      <c r="F30" s="430" t="s">
        <v>82</v>
      </c>
      <c r="G30" s="127" t="s">
        <v>15</v>
      </c>
      <c r="H30" s="185">
        <v>16000</v>
      </c>
      <c r="I30" s="22">
        <f t="shared" si="6"/>
        <v>23000</v>
      </c>
      <c r="J30" s="38">
        <f t="shared" si="7"/>
        <v>83600</v>
      </c>
      <c r="K30" s="84">
        <f t="shared" si="18"/>
        <v>0</v>
      </c>
      <c r="L30" s="85">
        <f t="shared" ref="L30:L31" si="19">IF($F$10&lt;$G30,0,($F$10-G30)*20)</f>
        <v>0</v>
      </c>
      <c r="M30" s="39">
        <f t="shared" si="13"/>
        <v>83600</v>
      </c>
      <c r="N30" s="23" t="str">
        <f t="shared" si="14"/>
        <v/>
      </c>
      <c r="O30" s="733"/>
      <c r="P30" s="151">
        <f t="shared" si="8"/>
        <v>-14000</v>
      </c>
      <c r="Q30" s="152">
        <f t="shared" si="9"/>
        <v>42</v>
      </c>
      <c r="R30" s="47">
        <f t="shared" si="10"/>
        <v>42</v>
      </c>
      <c r="S30" s="47">
        <f t="shared" si="11"/>
        <v>42</v>
      </c>
      <c r="T30" s="47">
        <f t="shared" si="15"/>
        <v>42</v>
      </c>
      <c r="U30" s="47">
        <f t="shared" si="16"/>
        <v>42</v>
      </c>
      <c r="V30" s="153">
        <v>8000</v>
      </c>
      <c r="W30" s="472">
        <f t="shared" si="17"/>
        <v>83600</v>
      </c>
    </row>
    <row r="31" spans="1:23" ht="17.100000000000001" customHeight="1" thickBot="1">
      <c r="A31" s="109">
        <v>25000</v>
      </c>
      <c r="B31" s="121">
        <f>IF(C31="O","",RANK(W31,W$24:W$74,1)+COUNTIF($W$24:W31,W31)-1)</f>
        <v>45</v>
      </c>
      <c r="C31" s="477"/>
      <c r="D31" s="431" t="s">
        <v>185</v>
      </c>
      <c r="E31" s="186">
        <v>124000</v>
      </c>
      <c r="F31" s="432" t="s">
        <v>82</v>
      </c>
      <c r="G31" s="130" t="s">
        <v>15</v>
      </c>
      <c r="H31" s="433" t="s">
        <v>15</v>
      </c>
      <c r="I31" s="54">
        <f t="shared" si="6"/>
        <v>25000</v>
      </c>
      <c r="J31" s="55">
        <f t="shared" si="7"/>
        <v>108900.00000000001</v>
      </c>
      <c r="K31" s="86">
        <f t="shared" si="18"/>
        <v>0</v>
      </c>
      <c r="L31" s="87">
        <f t="shared" si="19"/>
        <v>0</v>
      </c>
      <c r="M31" s="56">
        <f t="shared" si="13"/>
        <v>108900.00000000001</v>
      </c>
      <c r="N31" s="57" t="str">
        <f t="shared" si="14"/>
        <v/>
      </c>
      <c r="O31" s="759"/>
      <c r="P31" s="151">
        <v>1</v>
      </c>
      <c r="Q31" s="152">
        <f t="shared" si="9"/>
        <v>45</v>
      </c>
      <c r="R31" s="47">
        <f t="shared" si="10"/>
        <v>45</v>
      </c>
      <c r="S31" s="47">
        <f t="shared" si="11"/>
        <v>45</v>
      </c>
      <c r="T31" s="47">
        <f t="shared" si="15"/>
        <v>45</v>
      </c>
      <c r="U31" s="47">
        <f t="shared" si="16"/>
        <v>45</v>
      </c>
      <c r="V31" s="153">
        <v>8000</v>
      </c>
      <c r="W31" s="472">
        <f t="shared" si="17"/>
        <v>108900.00000000001</v>
      </c>
    </row>
    <row r="32" spans="1:23" ht="17.100000000000001" customHeight="1">
      <c r="A32" s="109">
        <v>7000</v>
      </c>
      <c r="B32" s="121">
        <f>IF(C32="O","",RANK(W32,W$24:W$74,1)+COUNTIF($W$24:W32,W32)-1)</f>
        <v>9</v>
      </c>
      <c r="C32" s="478"/>
      <c r="D32" s="122" t="s">
        <v>87</v>
      </c>
      <c r="E32" s="183">
        <v>34000</v>
      </c>
      <c r="F32" s="125">
        <v>160</v>
      </c>
      <c r="G32" s="124">
        <v>200</v>
      </c>
      <c r="H32" s="183">
        <v>750</v>
      </c>
      <c r="I32" s="20">
        <f t="shared" si="6"/>
        <v>7000</v>
      </c>
      <c r="J32" s="52">
        <f t="shared" si="7"/>
        <v>29700.000000000004</v>
      </c>
      <c r="K32" s="89">
        <f>IF(F$8&lt;F32,0,((F$8-F32)*60*1.8))*IF($N$10="O",0.65,1)</f>
        <v>16308</v>
      </c>
      <c r="L32" s="83">
        <f>IF($F$10&lt;$G32,0,($F$10-G32)*20)*IF($N$10="O",0.65,1)</f>
        <v>20</v>
      </c>
      <c r="M32" s="53">
        <f t="shared" si="13"/>
        <v>47660.800000000003</v>
      </c>
      <c r="N32" s="21" t="str">
        <f t="shared" si="14"/>
        <v>데이터(1.25GB) 부족</v>
      </c>
      <c r="O32" s="728" t="s">
        <v>95</v>
      </c>
      <c r="P32" s="151">
        <f t="shared" si="8"/>
        <v>1250</v>
      </c>
      <c r="Q32" s="152">
        <f t="shared" si="9"/>
        <v>9</v>
      </c>
      <c r="R32" s="47">
        <f t="shared" si="10"/>
        <v>9</v>
      </c>
      <c r="S32" s="47" t="str">
        <f t="shared" si="11"/>
        <v/>
      </c>
      <c r="T32" s="47" t="str">
        <f t="shared" si="15"/>
        <v/>
      </c>
      <c r="U32" s="47">
        <f t="shared" si="16"/>
        <v>9</v>
      </c>
      <c r="V32" s="153">
        <v>5000</v>
      </c>
      <c r="W32" s="472">
        <f t="shared" si="17"/>
        <v>47660.800000000003</v>
      </c>
    </row>
    <row r="33" spans="1:23" ht="17.100000000000001" customHeight="1">
      <c r="A33" s="109">
        <v>10500</v>
      </c>
      <c r="B33" s="121">
        <f>IF(C33="O","",RANK(W33,W$24:W$74,1)+COUNTIF($W$24:W33,W33)-1)</f>
        <v>10</v>
      </c>
      <c r="C33" s="475"/>
      <c r="D33" s="37" t="s">
        <v>88</v>
      </c>
      <c r="E33" s="185">
        <v>42000</v>
      </c>
      <c r="F33" s="129">
        <v>200</v>
      </c>
      <c r="G33" s="128">
        <v>200</v>
      </c>
      <c r="H33" s="185">
        <v>1500</v>
      </c>
      <c r="I33" s="22">
        <f t="shared" si="6"/>
        <v>10500</v>
      </c>
      <c r="J33" s="38">
        <f t="shared" si="7"/>
        <v>34650</v>
      </c>
      <c r="K33" s="84">
        <f t="shared" ref="K33:K39" si="20">IF(F$8&lt;F33,0,((F$8-F33)*60*1.8))*IF($N$10="O",0.65,1)</f>
        <v>11988</v>
      </c>
      <c r="L33" s="85">
        <f t="shared" ref="L33:L39" si="21">IF($F$10&lt;$G33,0,($F$10-G33)*20)*IF($N$10="O",0.65,1)</f>
        <v>20</v>
      </c>
      <c r="M33" s="39">
        <f t="shared" si="13"/>
        <v>47858.8</v>
      </c>
      <c r="N33" s="23" t="str">
        <f t="shared" si="14"/>
        <v>데이터(0.5GB) 부족</v>
      </c>
      <c r="O33" s="729"/>
      <c r="P33" s="151">
        <f t="shared" si="8"/>
        <v>500</v>
      </c>
      <c r="Q33" s="152">
        <f t="shared" si="9"/>
        <v>10</v>
      </c>
      <c r="R33" s="47">
        <f t="shared" si="10"/>
        <v>10</v>
      </c>
      <c r="S33" s="47" t="str">
        <f t="shared" si="11"/>
        <v/>
      </c>
      <c r="T33" s="47" t="str">
        <f t="shared" si="15"/>
        <v/>
      </c>
      <c r="U33" s="47">
        <f t="shared" si="16"/>
        <v>10</v>
      </c>
      <c r="V33" s="153">
        <v>5000</v>
      </c>
      <c r="W33" s="472">
        <f t="shared" si="17"/>
        <v>47858.8</v>
      </c>
    </row>
    <row r="34" spans="1:23" ht="17.100000000000001" customHeight="1">
      <c r="A34" s="109">
        <v>13500</v>
      </c>
      <c r="B34" s="121">
        <f>IF(C34="O","",RANK(W34,W$24:W$74,1)+COUNTIF($W$24:W34,W34)-1)</f>
        <v>18</v>
      </c>
      <c r="C34" s="475"/>
      <c r="D34" s="37" t="s">
        <v>89</v>
      </c>
      <c r="E34" s="185">
        <v>52000</v>
      </c>
      <c r="F34" s="129">
        <v>250</v>
      </c>
      <c r="G34" s="128">
        <v>250</v>
      </c>
      <c r="H34" s="185">
        <v>2500</v>
      </c>
      <c r="I34" s="22">
        <f t="shared" si="6"/>
        <v>13500</v>
      </c>
      <c r="J34" s="38">
        <f t="shared" si="7"/>
        <v>42350</v>
      </c>
      <c r="K34" s="84">
        <f t="shared" si="20"/>
        <v>6588</v>
      </c>
      <c r="L34" s="85">
        <f t="shared" si="21"/>
        <v>0</v>
      </c>
      <c r="M34" s="39">
        <f t="shared" si="13"/>
        <v>49596.800000000003</v>
      </c>
      <c r="N34" s="23" t="str">
        <f t="shared" si="14"/>
        <v/>
      </c>
      <c r="O34" s="729"/>
      <c r="P34" s="151">
        <f t="shared" si="8"/>
        <v>-500</v>
      </c>
      <c r="Q34" s="152">
        <f t="shared" si="9"/>
        <v>18</v>
      </c>
      <c r="R34" s="47">
        <f t="shared" si="10"/>
        <v>18</v>
      </c>
      <c r="S34" s="47">
        <f t="shared" si="11"/>
        <v>18</v>
      </c>
      <c r="T34" s="47">
        <f t="shared" si="15"/>
        <v>18</v>
      </c>
      <c r="U34" s="47">
        <f t="shared" si="16"/>
        <v>18</v>
      </c>
      <c r="V34" s="153">
        <v>5000</v>
      </c>
      <c r="W34" s="472">
        <f t="shared" si="17"/>
        <v>49596.800000000003</v>
      </c>
    </row>
    <row r="35" spans="1:23" ht="17.100000000000001" customHeight="1">
      <c r="A35" s="110">
        <v>18000</v>
      </c>
      <c r="B35" s="121">
        <f>IF(C35="O","",RANK(W35,W$24:W$74,1)+COUNTIF($W$24:W35,W35)-1)</f>
        <v>12</v>
      </c>
      <c r="C35" s="479"/>
      <c r="D35" s="434" t="s">
        <v>90</v>
      </c>
      <c r="E35" s="185">
        <v>62000</v>
      </c>
      <c r="F35" s="129">
        <v>350</v>
      </c>
      <c r="G35" s="128">
        <v>350</v>
      </c>
      <c r="H35" s="185">
        <v>6000</v>
      </c>
      <c r="I35" s="22">
        <f t="shared" si="6"/>
        <v>18000</v>
      </c>
      <c r="J35" s="38">
        <f t="shared" si="7"/>
        <v>48400.000000000007</v>
      </c>
      <c r="K35" s="84">
        <f t="shared" si="20"/>
        <v>0</v>
      </c>
      <c r="L35" s="85">
        <f t="shared" si="21"/>
        <v>0</v>
      </c>
      <c r="M35" s="39">
        <f t="shared" si="13"/>
        <v>48400.000000000007</v>
      </c>
      <c r="N35" s="23" t="str">
        <f t="shared" si="14"/>
        <v/>
      </c>
      <c r="O35" s="729"/>
      <c r="P35" s="151">
        <v>1</v>
      </c>
      <c r="Q35" s="152">
        <f t="shared" si="9"/>
        <v>12</v>
      </c>
      <c r="R35" s="47">
        <f t="shared" si="10"/>
        <v>12</v>
      </c>
      <c r="S35" s="47">
        <f t="shared" si="11"/>
        <v>12</v>
      </c>
      <c r="T35" s="47">
        <f t="shared" si="15"/>
        <v>12</v>
      </c>
      <c r="U35" s="47">
        <f t="shared" si="16"/>
        <v>12</v>
      </c>
      <c r="V35" s="154">
        <v>8000</v>
      </c>
      <c r="W35" s="472">
        <f t="shared" si="17"/>
        <v>48400.000000000007</v>
      </c>
    </row>
    <row r="36" spans="1:23" ht="17.100000000000001" customHeight="1">
      <c r="A36" s="111">
        <v>20000</v>
      </c>
      <c r="B36" s="121">
        <f>IF(C36="O","",RANK(W36,W$24:W$74,1)+COUNTIF($W$24:W36,W36)-1)</f>
        <v>28</v>
      </c>
      <c r="C36" s="480"/>
      <c r="D36" s="123" t="s">
        <v>91</v>
      </c>
      <c r="E36" s="184">
        <v>72000</v>
      </c>
      <c r="F36" s="134">
        <v>500</v>
      </c>
      <c r="G36" s="157">
        <v>450</v>
      </c>
      <c r="H36" s="184">
        <v>10000</v>
      </c>
      <c r="I36" s="91">
        <f t="shared" si="6"/>
        <v>20000</v>
      </c>
      <c r="J36" s="92">
        <f t="shared" si="7"/>
        <v>57200.000000000007</v>
      </c>
      <c r="K36" s="89">
        <f t="shared" si="20"/>
        <v>0</v>
      </c>
      <c r="L36" s="93">
        <f t="shared" si="21"/>
        <v>0</v>
      </c>
      <c r="M36" s="94">
        <f t="shared" si="13"/>
        <v>57200.000000000007</v>
      </c>
      <c r="N36" s="95" t="str">
        <f t="shared" si="14"/>
        <v/>
      </c>
      <c r="O36" s="729"/>
      <c r="P36" s="151">
        <f t="shared" si="8"/>
        <v>-8000</v>
      </c>
      <c r="Q36" s="152">
        <f t="shared" si="9"/>
        <v>28</v>
      </c>
      <c r="R36" s="47">
        <f t="shared" si="10"/>
        <v>28</v>
      </c>
      <c r="S36" s="47">
        <f t="shared" si="11"/>
        <v>28</v>
      </c>
      <c r="T36" s="47">
        <f t="shared" si="15"/>
        <v>28</v>
      </c>
      <c r="U36" s="47">
        <f t="shared" si="16"/>
        <v>28</v>
      </c>
      <c r="V36" s="153">
        <v>10000</v>
      </c>
      <c r="W36" s="472">
        <f t="shared" si="17"/>
        <v>57200.000000000007</v>
      </c>
    </row>
    <row r="37" spans="1:23" ht="17.100000000000001" customHeight="1">
      <c r="A37" s="111">
        <v>22000</v>
      </c>
      <c r="B37" s="121">
        <f>IF(C37="O","",RANK(W37,W$24:W$74,1)+COUNTIF($W$24:W37,W37)-1)</f>
        <v>38</v>
      </c>
      <c r="C37" s="480"/>
      <c r="D37" s="37" t="s">
        <v>92</v>
      </c>
      <c r="E37" s="185">
        <v>85000</v>
      </c>
      <c r="F37" s="129">
        <v>750</v>
      </c>
      <c r="G37" s="131">
        <v>650</v>
      </c>
      <c r="H37" s="185">
        <v>14000</v>
      </c>
      <c r="I37" s="22">
        <f t="shared" si="6"/>
        <v>22000</v>
      </c>
      <c r="J37" s="38">
        <f t="shared" si="7"/>
        <v>69300</v>
      </c>
      <c r="K37" s="84">
        <f t="shared" si="20"/>
        <v>0</v>
      </c>
      <c r="L37" s="85">
        <f t="shared" si="21"/>
        <v>0</v>
      </c>
      <c r="M37" s="39">
        <f t="shared" si="13"/>
        <v>69300</v>
      </c>
      <c r="N37" s="23" t="str">
        <f t="shared" si="14"/>
        <v/>
      </c>
      <c r="O37" s="729"/>
      <c r="P37" s="151">
        <f t="shared" si="8"/>
        <v>-12000</v>
      </c>
      <c r="Q37" s="152">
        <f t="shared" si="9"/>
        <v>38</v>
      </c>
      <c r="R37" s="47">
        <f t="shared" si="10"/>
        <v>38</v>
      </c>
      <c r="S37" s="47">
        <f t="shared" si="11"/>
        <v>38</v>
      </c>
      <c r="T37" s="47">
        <f t="shared" si="15"/>
        <v>38</v>
      </c>
      <c r="U37" s="47">
        <f t="shared" si="16"/>
        <v>38</v>
      </c>
      <c r="V37" s="153">
        <v>12000</v>
      </c>
      <c r="W37" s="472">
        <f t="shared" si="17"/>
        <v>69300</v>
      </c>
    </row>
    <row r="38" spans="1:23" ht="17.100000000000001" customHeight="1">
      <c r="A38" s="111">
        <v>24000</v>
      </c>
      <c r="B38" s="121">
        <f>IF(C38="O","",RANK(W38,W$24:W$74,1)+COUNTIF($W$24:W38,W38)-1)</f>
        <v>43</v>
      </c>
      <c r="C38" s="480"/>
      <c r="D38" s="37" t="s">
        <v>93</v>
      </c>
      <c r="E38" s="185">
        <v>100000</v>
      </c>
      <c r="F38" s="129">
        <v>1200</v>
      </c>
      <c r="G38" s="131">
        <v>1100</v>
      </c>
      <c r="H38" s="185">
        <v>20000</v>
      </c>
      <c r="I38" s="22">
        <f t="shared" si="6"/>
        <v>24000</v>
      </c>
      <c r="J38" s="38">
        <f t="shared" si="7"/>
        <v>83600</v>
      </c>
      <c r="K38" s="84">
        <f t="shared" si="20"/>
        <v>0</v>
      </c>
      <c r="L38" s="85">
        <f t="shared" si="21"/>
        <v>0</v>
      </c>
      <c r="M38" s="39">
        <f t="shared" si="13"/>
        <v>83600</v>
      </c>
      <c r="N38" s="23" t="str">
        <f t="shared" si="14"/>
        <v/>
      </c>
      <c r="O38" s="729"/>
      <c r="P38" s="151">
        <f t="shared" si="8"/>
        <v>-18000</v>
      </c>
      <c r="Q38" s="152">
        <f t="shared" si="9"/>
        <v>43</v>
      </c>
      <c r="R38" s="47">
        <f t="shared" si="10"/>
        <v>43</v>
      </c>
      <c r="S38" s="47">
        <f t="shared" si="11"/>
        <v>43</v>
      </c>
      <c r="T38" s="47">
        <f t="shared" si="15"/>
        <v>43</v>
      </c>
      <c r="U38" s="47">
        <f t="shared" si="16"/>
        <v>43</v>
      </c>
      <c r="V38" s="153">
        <v>15000</v>
      </c>
      <c r="W38" s="472">
        <f t="shared" si="17"/>
        <v>83600</v>
      </c>
    </row>
    <row r="39" spans="1:23" ht="17.100000000000001" customHeight="1" thickBot="1">
      <c r="A39" s="111">
        <v>24000</v>
      </c>
      <c r="B39" s="121">
        <f>IF(C39="O","",RANK(W39,W$24:W$74,1)+COUNTIF($W$24:W39,W39)-1)</f>
        <v>44</v>
      </c>
      <c r="C39" s="481"/>
      <c r="D39" s="435" t="s">
        <v>94</v>
      </c>
      <c r="E39" s="186">
        <v>120000</v>
      </c>
      <c r="F39" s="132">
        <v>1500</v>
      </c>
      <c r="G39" s="133">
        <v>1000</v>
      </c>
      <c r="H39" s="186">
        <v>24000</v>
      </c>
      <c r="I39" s="8">
        <f t="shared" si="6"/>
        <v>24000</v>
      </c>
      <c r="J39" s="29">
        <f t="shared" si="7"/>
        <v>105600.00000000001</v>
      </c>
      <c r="K39" s="86">
        <f t="shared" si="20"/>
        <v>0</v>
      </c>
      <c r="L39" s="87">
        <f t="shared" si="21"/>
        <v>0</v>
      </c>
      <c r="M39" s="59">
        <f t="shared" si="13"/>
        <v>105600.00000000001</v>
      </c>
      <c r="N39" s="32" t="str">
        <f t="shared" si="14"/>
        <v/>
      </c>
      <c r="O39" s="730"/>
      <c r="P39" s="261">
        <f t="shared" si="8"/>
        <v>-22000</v>
      </c>
      <c r="Q39" s="152">
        <f t="shared" si="9"/>
        <v>44</v>
      </c>
      <c r="R39" s="47">
        <f t="shared" si="10"/>
        <v>44</v>
      </c>
      <c r="S39" s="47">
        <f t="shared" si="11"/>
        <v>44</v>
      </c>
      <c r="T39" s="47">
        <f t="shared" si="15"/>
        <v>44</v>
      </c>
      <c r="U39" s="47">
        <f t="shared" si="16"/>
        <v>44</v>
      </c>
      <c r="V39" s="153">
        <v>15000</v>
      </c>
      <c r="W39" s="472">
        <f t="shared" si="17"/>
        <v>105600.00000000001</v>
      </c>
    </row>
    <row r="40" spans="1:23" ht="17.100000000000001" customHeight="1">
      <c r="A40" s="111">
        <v>7000</v>
      </c>
      <c r="B40" s="121">
        <f>IF(C40="O","",RANK(W40,W$24:W$74,1)+COUNTIF($W$24:W40,W40)-1)</f>
        <v>2</v>
      </c>
      <c r="C40" s="482"/>
      <c r="D40" s="122" t="s">
        <v>99</v>
      </c>
      <c r="E40" s="183">
        <v>34000</v>
      </c>
      <c r="F40" s="125">
        <v>115</v>
      </c>
      <c r="G40" s="173" t="s">
        <v>84</v>
      </c>
      <c r="H40" s="183">
        <v>750</v>
      </c>
      <c r="I40" s="16">
        <f t="shared" si="6"/>
        <v>7000</v>
      </c>
      <c r="J40" s="27">
        <f t="shared" si="7"/>
        <v>29700.000000000004</v>
      </c>
      <c r="K40" s="82">
        <f>IF(F$8*(100-F$9)/100&lt;F40,0,((F$8*(100-F$9)/100)-F40)*60*1.7)*IF($N$10="O",0.65,1)</f>
        <v>13647.6</v>
      </c>
      <c r="L40" s="83">
        <v>0</v>
      </c>
      <c r="M40" s="33">
        <f t="shared" si="13"/>
        <v>44712.360000000008</v>
      </c>
      <c r="N40" s="30" t="str">
        <f t="shared" si="14"/>
        <v>데이터(1.25GB) 부족</v>
      </c>
      <c r="O40" s="774" t="s">
        <v>105</v>
      </c>
      <c r="P40" s="261">
        <f t="shared" si="8"/>
        <v>1250</v>
      </c>
      <c r="Q40" s="152">
        <f t="shared" si="9"/>
        <v>2</v>
      </c>
      <c r="R40" s="47">
        <f t="shared" si="10"/>
        <v>2</v>
      </c>
      <c r="S40" s="47" t="str">
        <f t="shared" si="11"/>
        <v/>
      </c>
      <c r="T40" s="47" t="str">
        <f t="shared" si="15"/>
        <v/>
      </c>
      <c r="U40" s="47">
        <f t="shared" si="16"/>
        <v>2</v>
      </c>
      <c r="V40" s="153">
        <v>5000</v>
      </c>
      <c r="W40" s="472">
        <f t="shared" si="17"/>
        <v>44712.360000000008</v>
      </c>
    </row>
    <row r="41" spans="1:23" ht="17.100000000000001" customHeight="1">
      <c r="A41" s="111">
        <v>10500</v>
      </c>
      <c r="B41" s="121">
        <f>IF(C41="O","",RANK(W41,W$24:W$74,1)+COUNTIF($W$24:W41,W41)-1)</f>
        <v>4</v>
      </c>
      <c r="C41" s="480"/>
      <c r="D41" s="123" t="s">
        <v>100</v>
      </c>
      <c r="E41" s="184">
        <v>42000</v>
      </c>
      <c r="F41" s="134">
        <v>148</v>
      </c>
      <c r="G41" s="174" t="s">
        <v>84</v>
      </c>
      <c r="H41" s="184">
        <v>1400</v>
      </c>
      <c r="I41" s="96">
        <f t="shared" si="6"/>
        <v>10500</v>
      </c>
      <c r="J41" s="97">
        <f t="shared" si="7"/>
        <v>34650</v>
      </c>
      <c r="K41" s="84">
        <f t="shared" ref="K41:K42" si="22">IF(F$8*(100-F$9)/100&lt;F41,0,((F$8*(100-F$9)/100)-F41)*60*1.7)*IF($N$10="O",0.65,1)</f>
        <v>10281.600000000002</v>
      </c>
      <c r="L41" s="93">
        <v>0</v>
      </c>
      <c r="M41" s="171">
        <f t="shared" si="13"/>
        <v>45959.76</v>
      </c>
      <c r="N41" s="172" t="str">
        <f t="shared" si="14"/>
        <v>데이터(0.6GB) 부족</v>
      </c>
      <c r="O41" s="775"/>
      <c r="P41" s="261">
        <f t="shared" si="8"/>
        <v>600</v>
      </c>
      <c r="Q41" s="152">
        <f t="shared" si="9"/>
        <v>4</v>
      </c>
      <c r="R41" s="47">
        <f t="shared" si="10"/>
        <v>4</v>
      </c>
      <c r="S41" s="47" t="str">
        <f t="shared" si="11"/>
        <v/>
      </c>
      <c r="T41" s="47" t="str">
        <f t="shared" si="15"/>
        <v/>
      </c>
      <c r="U41" s="47">
        <f t="shared" si="16"/>
        <v>4</v>
      </c>
      <c r="V41" s="153">
        <v>5000</v>
      </c>
      <c r="W41" s="472">
        <f t="shared" si="17"/>
        <v>45959.76</v>
      </c>
    </row>
    <row r="42" spans="1:23" ht="17.100000000000001" customHeight="1" thickBot="1">
      <c r="A42" s="111">
        <v>13500</v>
      </c>
      <c r="B42" s="121">
        <f>IF(C42="O","",RANK(W42,W$24:W$74,1)+COUNTIF($W$24:W42,W42)-1)</f>
        <v>6</v>
      </c>
      <c r="C42" s="483"/>
      <c r="D42" s="435" t="s">
        <v>101</v>
      </c>
      <c r="E42" s="186">
        <v>52000</v>
      </c>
      <c r="F42" s="132">
        <v>205</v>
      </c>
      <c r="G42" s="436" t="s">
        <v>84</v>
      </c>
      <c r="H42" s="186">
        <v>2100</v>
      </c>
      <c r="I42" s="8">
        <f t="shared" si="6"/>
        <v>13500</v>
      </c>
      <c r="J42" s="29">
        <f t="shared" si="7"/>
        <v>42350</v>
      </c>
      <c r="K42" s="86">
        <f t="shared" si="22"/>
        <v>4467.6000000000013</v>
      </c>
      <c r="L42" s="87">
        <v>0</v>
      </c>
      <c r="M42" s="59">
        <f t="shared" si="13"/>
        <v>47264.36</v>
      </c>
      <c r="N42" s="32" t="str">
        <f t="shared" si="14"/>
        <v/>
      </c>
      <c r="O42" s="776"/>
      <c r="P42" s="261">
        <f t="shared" si="8"/>
        <v>-100</v>
      </c>
      <c r="Q42" s="152">
        <f t="shared" si="9"/>
        <v>6</v>
      </c>
      <c r="R42" s="47">
        <f t="shared" si="10"/>
        <v>6</v>
      </c>
      <c r="S42" s="47">
        <f t="shared" si="11"/>
        <v>6</v>
      </c>
      <c r="T42" s="47">
        <f t="shared" si="15"/>
        <v>6</v>
      </c>
      <c r="U42" s="47">
        <f t="shared" si="16"/>
        <v>6</v>
      </c>
      <c r="V42" s="153">
        <v>5000</v>
      </c>
      <c r="W42" s="472">
        <f t="shared" si="17"/>
        <v>47264.36</v>
      </c>
    </row>
    <row r="43" spans="1:23" ht="17.100000000000001" customHeight="1">
      <c r="A43" s="111">
        <v>13500</v>
      </c>
      <c r="B43" s="121" t="str">
        <f>IF(C43="O","",RANK(W43,W$24:W$74,1)+COUNTIF($W$24:W43,W43)-1)</f>
        <v/>
      </c>
      <c r="C43" s="484" t="s">
        <v>243</v>
      </c>
      <c r="D43" s="122" t="s">
        <v>118</v>
      </c>
      <c r="E43" s="183">
        <v>55000</v>
      </c>
      <c r="F43" s="125">
        <v>250</v>
      </c>
      <c r="G43" s="176">
        <v>250</v>
      </c>
      <c r="H43" s="183">
        <v>2500</v>
      </c>
      <c r="I43" s="16">
        <f t="shared" si="6"/>
        <v>13500</v>
      </c>
      <c r="J43" s="27">
        <f t="shared" si="7"/>
        <v>45650.000000000007</v>
      </c>
      <c r="K43" s="89">
        <f>IF(F$8&lt;F43,0,((F$8-F43)*60*1.8))*IF($N$10="O",0.65,1)</f>
        <v>6588</v>
      </c>
      <c r="L43" s="83">
        <f>IF($F$10&lt;$G43,0,($F$10-G43)*20)*IF($N$10="O",0.65,1)</f>
        <v>0</v>
      </c>
      <c r="M43" s="33">
        <f t="shared" si="13"/>
        <v>52896.80000000001</v>
      </c>
      <c r="N43" s="30" t="str">
        <f t="shared" si="14"/>
        <v/>
      </c>
      <c r="O43" s="777" t="s">
        <v>117</v>
      </c>
      <c r="P43" s="261">
        <f t="shared" si="8"/>
        <v>-500</v>
      </c>
      <c r="Q43" s="152" t="str">
        <f t="shared" si="9"/>
        <v/>
      </c>
      <c r="R43" s="47" t="str">
        <f t="shared" si="10"/>
        <v/>
      </c>
      <c r="S43" s="47" t="str">
        <f t="shared" si="11"/>
        <v/>
      </c>
      <c r="T43" s="47" t="str">
        <f t="shared" si="15"/>
        <v/>
      </c>
      <c r="U43" s="47" t="str">
        <f t="shared" si="16"/>
        <v/>
      </c>
      <c r="V43" s="153">
        <v>5000</v>
      </c>
      <c r="W43" s="472" t="str">
        <f t="shared" si="17"/>
        <v/>
      </c>
    </row>
    <row r="44" spans="1:23" ht="17.100000000000001" customHeight="1">
      <c r="A44" s="111">
        <v>18000</v>
      </c>
      <c r="B44" s="121" t="str">
        <f>IF(C44="O","",RANK(W44,W$24:W$74,1)+COUNTIF($W$24:W44,W44)-1)</f>
        <v/>
      </c>
      <c r="C44" s="480" t="s">
        <v>243</v>
      </c>
      <c r="D44" s="5" t="s">
        <v>119</v>
      </c>
      <c r="E44" s="185">
        <v>65000</v>
      </c>
      <c r="F44" s="129">
        <v>350</v>
      </c>
      <c r="G44" s="131">
        <v>350</v>
      </c>
      <c r="H44" s="185">
        <v>6000</v>
      </c>
      <c r="I44" s="6">
        <f t="shared" si="6"/>
        <v>18000</v>
      </c>
      <c r="J44" s="28">
        <f t="shared" si="7"/>
        <v>51700.000000000007</v>
      </c>
      <c r="K44" s="103">
        <f t="shared" ref="K44:K45" si="23">IF(F$8&lt;F44,0,((F$8-F44)*60*1.8))*IF($N$10="O",0.65,1)</f>
        <v>0</v>
      </c>
      <c r="L44" s="85">
        <f t="shared" ref="L44:L45" si="24">IF($F$10&lt;$G44,0,($F$10-G44)*20)*IF($N$10="O",0.65,1)</f>
        <v>0</v>
      </c>
      <c r="M44" s="58">
        <f t="shared" si="13"/>
        <v>51700.000000000007</v>
      </c>
      <c r="N44" s="31" t="str">
        <f t="shared" si="14"/>
        <v/>
      </c>
      <c r="O44" s="778"/>
      <c r="P44" s="261">
        <f t="shared" si="8"/>
        <v>-4000</v>
      </c>
      <c r="Q44" s="152" t="str">
        <f t="shared" si="9"/>
        <v/>
      </c>
      <c r="R44" s="47" t="str">
        <f t="shared" si="10"/>
        <v/>
      </c>
      <c r="S44" s="47" t="str">
        <f t="shared" si="11"/>
        <v/>
      </c>
      <c r="T44" s="47" t="str">
        <f t="shared" si="15"/>
        <v/>
      </c>
      <c r="U44" s="47" t="str">
        <f t="shared" si="16"/>
        <v/>
      </c>
      <c r="V44" s="153">
        <v>8000</v>
      </c>
      <c r="W44" s="472" t="str">
        <f t="shared" si="17"/>
        <v/>
      </c>
    </row>
    <row r="45" spans="1:23" ht="17.100000000000001" customHeight="1" thickBot="1">
      <c r="A45" s="111">
        <v>20000</v>
      </c>
      <c r="B45" s="121" t="str">
        <f>IF(C45="O","",RANK(W45,W$24:W$74,1)+COUNTIF($W$24:W45,W45)-1)</f>
        <v/>
      </c>
      <c r="C45" s="481" t="s">
        <v>243</v>
      </c>
      <c r="D45" s="437" t="s">
        <v>120</v>
      </c>
      <c r="E45" s="246">
        <v>75000</v>
      </c>
      <c r="F45" s="247">
        <v>500</v>
      </c>
      <c r="G45" s="438">
        <v>450</v>
      </c>
      <c r="H45" s="246">
        <v>10000</v>
      </c>
      <c r="I45" s="98">
        <f t="shared" si="6"/>
        <v>20000</v>
      </c>
      <c r="J45" s="99">
        <f t="shared" si="7"/>
        <v>60500.000000000007</v>
      </c>
      <c r="K45" s="104">
        <f t="shared" si="23"/>
        <v>0</v>
      </c>
      <c r="L45" s="100">
        <f t="shared" si="24"/>
        <v>0</v>
      </c>
      <c r="M45" s="101">
        <f t="shared" si="13"/>
        <v>60500.000000000007</v>
      </c>
      <c r="N45" s="102" t="str">
        <f t="shared" si="14"/>
        <v/>
      </c>
      <c r="O45" s="779"/>
      <c r="P45" s="261">
        <f t="shared" si="8"/>
        <v>-8000</v>
      </c>
      <c r="Q45" s="152" t="str">
        <f t="shared" si="9"/>
        <v/>
      </c>
      <c r="R45" s="47" t="str">
        <f t="shared" si="10"/>
        <v/>
      </c>
      <c r="S45" s="47" t="str">
        <f t="shared" si="11"/>
        <v/>
      </c>
      <c r="T45" s="47" t="str">
        <f t="shared" si="15"/>
        <v/>
      </c>
      <c r="U45" s="47" t="str">
        <f t="shared" si="16"/>
        <v/>
      </c>
      <c r="V45" s="153">
        <v>10000</v>
      </c>
      <c r="W45" s="472" t="str">
        <f t="shared" si="17"/>
        <v/>
      </c>
    </row>
    <row r="46" spans="1:23" ht="17.100000000000001" customHeight="1">
      <c r="A46" s="111">
        <v>22000</v>
      </c>
      <c r="B46" s="121" t="str">
        <f>IF(C46="O","",RANK(W46,W$24:W$74,1)+COUNTIF($W$24:W46,W46)-1)</f>
        <v/>
      </c>
      <c r="C46" s="482" t="s">
        <v>243</v>
      </c>
      <c r="D46" s="269" t="s">
        <v>104</v>
      </c>
      <c r="E46" s="183">
        <v>95000</v>
      </c>
      <c r="F46" s="125">
        <v>750</v>
      </c>
      <c r="G46" s="439">
        <v>650</v>
      </c>
      <c r="H46" s="183">
        <v>14000</v>
      </c>
      <c r="I46" s="16">
        <f t="shared" si="6"/>
        <v>22000</v>
      </c>
      <c r="J46" s="27">
        <f t="shared" si="7"/>
        <v>80300</v>
      </c>
      <c r="K46" s="82">
        <f>IF(F$8&lt;F46,0,((F$8-F46)*60*1.8))*IF($N$10="O",0.65,1)</f>
        <v>0</v>
      </c>
      <c r="L46" s="83">
        <f>IF($F$10&lt;$G46,0,($F$10-G46)*20)*IF($N$10="O",0.65,1)</f>
        <v>0</v>
      </c>
      <c r="M46" s="33">
        <f t="shared" si="13"/>
        <v>80300</v>
      </c>
      <c r="N46" s="30" t="str">
        <f t="shared" si="14"/>
        <v/>
      </c>
      <c r="O46" s="777" t="s">
        <v>121</v>
      </c>
      <c r="P46" s="261">
        <f t="shared" si="8"/>
        <v>-12000</v>
      </c>
      <c r="Q46" s="152" t="str">
        <f t="shared" si="9"/>
        <v/>
      </c>
      <c r="R46" s="47" t="str">
        <f t="shared" si="10"/>
        <v/>
      </c>
      <c r="S46" s="47" t="str">
        <f t="shared" si="11"/>
        <v/>
      </c>
      <c r="T46" s="47" t="str">
        <f t="shared" si="15"/>
        <v/>
      </c>
      <c r="U46" s="47" t="str">
        <f t="shared" si="16"/>
        <v/>
      </c>
      <c r="V46" s="153">
        <v>12000</v>
      </c>
      <c r="W46" s="472" t="str">
        <f t="shared" si="17"/>
        <v/>
      </c>
    </row>
    <row r="47" spans="1:23" ht="17.100000000000001" customHeight="1">
      <c r="A47" s="111">
        <v>24000</v>
      </c>
      <c r="B47" s="121" t="str">
        <f>IF(C47="O","",RANK(W47,W$24:W$74,1)+COUNTIF($W$24:W47,W47)-1)</f>
        <v/>
      </c>
      <c r="C47" s="480" t="s">
        <v>243</v>
      </c>
      <c r="D47" s="440" t="s">
        <v>102</v>
      </c>
      <c r="E47" s="184">
        <v>110000</v>
      </c>
      <c r="F47" s="134">
        <v>1200</v>
      </c>
      <c r="G47" s="157">
        <v>1000</v>
      </c>
      <c r="H47" s="184">
        <v>20000</v>
      </c>
      <c r="I47" s="96">
        <f t="shared" si="6"/>
        <v>24000</v>
      </c>
      <c r="J47" s="97">
        <f t="shared" si="7"/>
        <v>94600.000000000015</v>
      </c>
      <c r="K47" s="89">
        <f t="shared" ref="K47:K48" si="25">IF(F$8&lt;F47,0,((F$8-F47)*60*1.8))*IF($N$10="O",0.65,1)</f>
        <v>0</v>
      </c>
      <c r="L47" s="93">
        <f t="shared" ref="L47:L48" si="26">IF($F$10&lt;$G47,0,($F$10-G47)*20)*IF($N$10="O",0.65,1)</f>
        <v>0</v>
      </c>
      <c r="M47" s="94">
        <f t="shared" si="13"/>
        <v>94600.000000000015</v>
      </c>
      <c r="N47" s="172" t="str">
        <f t="shared" si="14"/>
        <v/>
      </c>
      <c r="O47" s="778"/>
      <c r="P47" s="261">
        <f t="shared" si="8"/>
        <v>-18000</v>
      </c>
      <c r="Q47" s="152" t="str">
        <f t="shared" si="9"/>
        <v/>
      </c>
      <c r="R47" s="47" t="str">
        <f t="shared" si="10"/>
        <v/>
      </c>
      <c r="S47" s="47" t="str">
        <f t="shared" si="11"/>
        <v/>
      </c>
      <c r="T47" s="47" t="str">
        <f t="shared" si="15"/>
        <v/>
      </c>
      <c r="U47" s="47" t="str">
        <f t="shared" si="16"/>
        <v/>
      </c>
      <c r="V47" s="154">
        <v>15000</v>
      </c>
      <c r="W47" s="472" t="str">
        <f t="shared" si="17"/>
        <v/>
      </c>
    </row>
    <row r="48" spans="1:23" ht="17.100000000000001" customHeight="1" thickBot="1">
      <c r="A48" s="111">
        <v>24000</v>
      </c>
      <c r="B48" s="121" t="str">
        <f>IF(C48="O","",RANK(W48,W$24:W$74,1)+COUNTIF($W$24:W48,W48)-1)</f>
        <v/>
      </c>
      <c r="C48" s="483" t="s">
        <v>243</v>
      </c>
      <c r="D48" s="177" t="s">
        <v>103</v>
      </c>
      <c r="E48" s="186">
        <v>130000</v>
      </c>
      <c r="F48" s="132">
        <v>1500</v>
      </c>
      <c r="G48" s="133">
        <v>1000</v>
      </c>
      <c r="H48" s="186">
        <v>24000</v>
      </c>
      <c r="I48" s="8">
        <f t="shared" si="6"/>
        <v>24000</v>
      </c>
      <c r="J48" s="29">
        <f t="shared" si="7"/>
        <v>116600.00000000001</v>
      </c>
      <c r="K48" s="105">
        <f t="shared" si="25"/>
        <v>0</v>
      </c>
      <c r="L48" s="87">
        <f t="shared" si="26"/>
        <v>0</v>
      </c>
      <c r="M48" s="59">
        <f t="shared" si="13"/>
        <v>116600.00000000001</v>
      </c>
      <c r="N48" s="32" t="str">
        <f t="shared" si="14"/>
        <v/>
      </c>
      <c r="O48" s="779"/>
      <c r="P48" s="261">
        <f t="shared" si="8"/>
        <v>-22000</v>
      </c>
      <c r="Q48" s="152" t="str">
        <f t="shared" si="9"/>
        <v/>
      </c>
      <c r="R48" s="47" t="str">
        <f t="shared" si="10"/>
        <v/>
      </c>
      <c r="S48" s="47" t="str">
        <f t="shared" si="11"/>
        <v/>
      </c>
      <c r="T48" s="47" t="str">
        <f t="shared" si="15"/>
        <v/>
      </c>
      <c r="U48" s="47" t="str">
        <f t="shared" si="16"/>
        <v/>
      </c>
      <c r="V48" s="154">
        <v>15000</v>
      </c>
      <c r="W48" s="472" t="str">
        <f t="shared" si="17"/>
        <v/>
      </c>
    </row>
    <row r="49" spans="1:23" ht="17.100000000000001" customHeight="1">
      <c r="A49" s="111">
        <v>5000</v>
      </c>
      <c r="B49" s="121">
        <f>IF(C49="O","",RANK(W49,W$24:W$74,1)+COUNTIF($W$24:W49,W49)-1)</f>
        <v>16</v>
      </c>
      <c r="C49" s="484"/>
      <c r="D49" s="269" t="s">
        <v>106</v>
      </c>
      <c r="E49" s="183">
        <v>24000</v>
      </c>
      <c r="F49" s="125">
        <v>100</v>
      </c>
      <c r="G49" s="441" t="str">
        <f>IF($F$12=0,"50(무료)",$F$12&amp;"+50")</f>
        <v>50(무료)</v>
      </c>
      <c r="H49" s="183">
        <v>250</v>
      </c>
      <c r="I49" s="16">
        <f t="shared" si="6"/>
        <v>5000</v>
      </c>
      <c r="J49" s="52">
        <f>IF($N$10="X",(E49-I49+$H$12)*1.1,(E49-I49+$H$12)*1.1*0.65)</f>
        <v>20900</v>
      </c>
      <c r="K49" s="89">
        <f>IF(F$8&lt;F49,0,((F$8-F49)*60*1.8))*IF($N$10="O",0.65,1)</f>
        <v>22788</v>
      </c>
      <c r="L49" s="83">
        <f>IF($F$10&lt;($F$12+50),0,($F$10-$F$12-50)*20)*IF($N$10="O",0.65,1)</f>
        <v>3020</v>
      </c>
      <c r="M49" s="33">
        <f t="shared" si="13"/>
        <v>49288.800000000003</v>
      </c>
      <c r="N49" s="30" t="str">
        <f t="shared" si="14"/>
        <v>데이터(1.75GB) 부족</v>
      </c>
      <c r="O49" s="771" t="s">
        <v>112</v>
      </c>
      <c r="P49" s="261">
        <f t="shared" si="8"/>
        <v>1750</v>
      </c>
      <c r="Q49" s="152">
        <f t="shared" si="9"/>
        <v>16</v>
      </c>
      <c r="R49" s="263">
        <f t="shared" ref="R49:R54" si="27">IF(B49=SMALL(B$49:B$54,1),B49,"")</f>
        <v>16</v>
      </c>
      <c r="S49" s="47" t="str">
        <f t="shared" si="11"/>
        <v/>
      </c>
      <c r="T49" s="263" t="str">
        <f t="shared" ref="T49:T54" si="28">IF(S49="","",IF(B49=SMALL(S$49:S$54,1),B49,""))</f>
        <v/>
      </c>
      <c r="U49" s="47">
        <f t="shared" si="16"/>
        <v>16</v>
      </c>
      <c r="V49" s="154">
        <v>5000</v>
      </c>
      <c r="W49" s="472">
        <f t="shared" si="17"/>
        <v>49288.800000000003</v>
      </c>
    </row>
    <row r="50" spans="1:23" ht="17.100000000000001" customHeight="1">
      <c r="A50" s="111">
        <v>5000</v>
      </c>
      <c r="B50" s="121">
        <f>IF(C50="O","",RANK(W50,W$24:W$74,1)+COUNTIF($W$24:W50,W50)-1)</f>
        <v>23</v>
      </c>
      <c r="C50" s="480"/>
      <c r="D50" s="175" t="s">
        <v>106</v>
      </c>
      <c r="E50" s="185">
        <v>27500</v>
      </c>
      <c r="F50" s="129">
        <v>100</v>
      </c>
      <c r="G50" s="442" t="str">
        <f t="shared" ref="G50:G72" si="29">IF($F$12=0,"50(무료)",$F$12&amp;"+50")</f>
        <v>50(무료)</v>
      </c>
      <c r="H50" s="185">
        <v>500</v>
      </c>
      <c r="I50" s="6">
        <f t="shared" si="6"/>
        <v>5000</v>
      </c>
      <c r="J50" s="28">
        <f t="shared" ref="J50:J72" si="30">IF($N$10="X",(E50-I50+$H$12)*1.1,(E50-I50+$H$12)*1.1*0.65)</f>
        <v>24750.000000000004</v>
      </c>
      <c r="K50" s="103">
        <f t="shared" ref="K50:K74" si="31">IF(F$8&lt;F50,0,((F$8-F50)*60*1.8))*IF($N$10="O",0.65,1)</f>
        <v>22788</v>
      </c>
      <c r="L50" s="85">
        <f t="shared" ref="L50:L72" si="32">IF($F$10&lt;($F$12+50),0,($F$10-$F$12-50)*20)*IF($N$10="O",0.65,1)</f>
        <v>3020</v>
      </c>
      <c r="M50" s="58">
        <f t="shared" si="13"/>
        <v>53138.8</v>
      </c>
      <c r="N50" s="31" t="str">
        <f t="shared" si="14"/>
        <v>데이터(1.5GB) 부족</v>
      </c>
      <c r="O50" s="772"/>
      <c r="P50" s="261">
        <f t="shared" si="8"/>
        <v>1500</v>
      </c>
      <c r="Q50" s="152">
        <f t="shared" si="9"/>
        <v>23</v>
      </c>
      <c r="R50" s="181" t="str">
        <f t="shared" si="27"/>
        <v/>
      </c>
      <c r="S50" s="47" t="str">
        <f t="shared" si="11"/>
        <v/>
      </c>
      <c r="T50" s="263" t="str">
        <f t="shared" si="28"/>
        <v/>
      </c>
      <c r="U50" s="47">
        <f t="shared" si="16"/>
        <v>23</v>
      </c>
      <c r="V50" s="154">
        <v>5000</v>
      </c>
      <c r="W50" s="472">
        <f t="shared" si="17"/>
        <v>53138.8</v>
      </c>
    </row>
    <row r="51" spans="1:23" ht="17.100000000000001" customHeight="1">
      <c r="A51" s="111">
        <v>5000</v>
      </c>
      <c r="B51" s="121">
        <f>IF(C51="O","",RANK(W51,W$24:W$74,1)+COUNTIF($W$24:W51,W51)-1)</f>
        <v>27</v>
      </c>
      <c r="C51" s="480"/>
      <c r="D51" s="175" t="s">
        <v>106</v>
      </c>
      <c r="E51" s="185">
        <v>31000</v>
      </c>
      <c r="F51" s="129">
        <v>100</v>
      </c>
      <c r="G51" s="442" t="str">
        <f t="shared" si="29"/>
        <v>50(무료)</v>
      </c>
      <c r="H51" s="185">
        <v>1000</v>
      </c>
      <c r="I51" s="6">
        <f t="shared" si="6"/>
        <v>5000</v>
      </c>
      <c r="J51" s="28">
        <f t="shared" si="30"/>
        <v>28600.000000000004</v>
      </c>
      <c r="K51" s="103">
        <f t="shared" si="31"/>
        <v>22788</v>
      </c>
      <c r="L51" s="85">
        <f t="shared" si="32"/>
        <v>3020</v>
      </c>
      <c r="M51" s="58">
        <f t="shared" si="13"/>
        <v>56988.800000000003</v>
      </c>
      <c r="N51" s="31" t="str">
        <f t="shared" si="14"/>
        <v>데이터(1GB) 부족</v>
      </c>
      <c r="O51" s="772"/>
      <c r="P51" s="261">
        <f t="shared" si="8"/>
        <v>1000</v>
      </c>
      <c r="Q51" s="152">
        <f t="shared" si="9"/>
        <v>27</v>
      </c>
      <c r="R51" s="181" t="str">
        <f t="shared" si="27"/>
        <v/>
      </c>
      <c r="S51" s="47" t="str">
        <f t="shared" si="11"/>
        <v/>
      </c>
      <c r="T51" s="263" t="str">
        <f t="shared" si="28"/>
        <v/>
      </c>
      <c r="U51" s="47">
        <f t="shared" si="16"/>
        <v>27</v>
      </c>
      <c r="V51" s="154">
        <v>5000</v>
      </c>
      <c r="W51" s="472">
        <f t="shared" si="17"/>
        <v>56988.800000000003</v>
      </c>
    </row>
    <row r="52" spans="1:23" ht="17.100000000000001" customHeight="1">
      <c r="A52" s="112">
        <v>7000</v>
      </c>
      <c r="B52" s="121">
        <f>IF(C52="O","",RANK(W52,W$24:W$74,1)+COUNTIF($W$24:W52,W52)-1)</f>
        <v>33</v>
      </c>
      <c r="C52" s="485"/>
      <c r="D52" s="175" t="s">
        <v>106</v>
      </c>
      <c r="E52" s="185">
        <v>38000</v>
      </c>
      <c r="F52" s="129">
        <v>100</v>
      </c>
      <c r="G52" s="442" t="str">
        <f t="shared" si="29"/>
        <v>50(무료)</v>
      </c>
      <c r="H52" s="185">
        <v>2000</v>
      </c>
      <c r="I52" s="6">
        <f t="shared" si="6"/>
        <v>7000</v>
      </c>
      <c r="J52" s="28">
        <f t="shared" si="30"/>
        <v>34100</v>
      </c>
      <c r="K52" s="103">
        <f t="shared" si="31"/>
        <v>22788</v>
      </c>
      <c r="L52" s="85">
        <f t="shared" si="32"/>
        <v>3020</v>
      </c>
      <c r="M52" s="58">
        <f t="shared" si="13"/>
        <v>62488.800000000003</v>
      </c>
      <c r="N52" s="31" t="str">
        <f t="shared" si="14"/>
        <v/>
      </c>
      <c r="O52" s="772"/>
      <c r="P52" s="261">
        <f t="shared" si="8"/>
        <v>0</v>
      </c>
      <c r="Q52" s="152">
        <f t="shared" si="9"/>
        <v>33</v>
      </c>
      <c r="R52" s="181" t="str">
        <f t="shared" si="27"/>
        <v/>
      </c>
      <c r="S52" s="47">
        <f t="shared" si="11"/>
        <v>33</v>
      </c>
      <c r="T52" s="263">
        <f t="shared" si="28"/>
        <v>33</v>
      </c>
      <c r="U52" s="47">
        <f t="shared" si="16"/>
        <v>33</v>
      </c>
      <c r="V52" s="154">
        <v>5000</v>
      </c>
      <c r="W52" s="472">
        <f t="shared" si="17"/>
        <v>62488.800000000003</v>
      </c>
    </row>
    <row r="53" spans="1:23" ht="17.100000000000001" customHeight="1">
      <c r="A53" s="147">
        <v>10500</v>
      </c>
      <c r="B53" s="121">
        <f>IF(C53="O","",RANK(W53,W$24:W$74,1)+COUNTIF($W$24:W53,W53)-1)</f>
        <v>35</v>
      </c>
      <c r="C53" s="486"/>
      <c r="D53" s="175" t="s">
        <v>106</v>
      </c>
      <c r="E53" s="185">
        <v>45000</v>
      </c>
      <c r="F53" s="129">
        <v>100</v>
      </c>
      <c r="G53" s="442" t="str">
        <f t="shared" si="29"/>
        <v>50(무료)</v>
      </c>
      <c r="H53" s="185">
        <v>3500</v>
      </c>
      <c r="I53" s="6">
        <f t="shared" si="6"/>
        <v>10500</v>
      </c>
      <c r="J53" s="28">
        <f t="shared" si="30"/>
        <v>37950</v>
      </c>
      <c r="K53" s="84">
        <f t="shared" si="31"/>
        <v>22788</v>
      </c>
      <c r="L53" s="85">
        <f t="shared" si="32"/>
        <v>3020</v>
      </c>
      <c r="M53" s="58">
        <f t="shared" si="13"/>
        <v>66338.8</v>
      </c>
      <c r="N53" s="31" t="str">
        <f t="shared" si="14"/>
        <v/>
      </c>
      <c r="O53" s="772"/>
      <c r="P53" s="261">
        <f t="shared" si="8"/>
        <v>-1500</v>
      </c>
      <c r="Q53" s="152">
        <f t="shared" si="9"/>
        <v>35</v>
      </c>
      <c r="R53" s="181" t="str">
        <f t="shared" si="27"/>
        <v/>
      </c>
      <c r="S53" s="47">
        <f t="shared" si="11"/>
        <v>35</v>
      </c>
      <c r="T53" s="263" t="str">
        <f t="shared" si="28"/>
        <v/>
      </c>
      <c r="U53" s="47">
        <f t="shared" si="16"/>
        <v>35</v>
      </c>
      <c r="V53" s="154">
        <v>5000</v>
      </c>
      <c r="W53" s="472">
        <f t="shared" si="17"/>
        <v>66338.8</v>
      </c>
    </row>
    <row r="54" spans="1:23" ht="17.100000000000001" customHeight="1" thickBot="1">
      <c r="A54" s="147">
        <v>13500</v>
      </c>
      <c r="B54" s="121">
        <f>IF(C54="O","",RANK(W54,W$24:W$74,1)+COUNTIF($W$24:W54,W54)-1)</f>
        <v>39</v>
      </c>
      <c r="C54" s="487"/>
      <c r="D54" s="177" t="s">
        <v>106</v>
      </c>
      <c r="E54" s="186">
        <v>52500</v>
      </c>
      <c r="F54" s="132">
        <v>100</v>
      </c>
      <c r="G54" s="443" t="str">
        <f t="shared" si="29"/>
        <v>50(무료)</v>
      </c>
      <c r="H54" s="186">
        <v>7000</v>
      </c>
      <c r="I54" s="8">
        <f t="shared" si="6"/>
        <v>13500</v>
      </c>
      <c r="J54" s="29">
        <f t="shared" si="30"/>
        <v>42900</v>
      </c>
      <c r="K54" s="86">
        <f t="shared" si="31"/>
        <v>22788</v>
      </c>
      <c r="L54" s="87">
        <f t="shared" si="32"/>
        <v>3020</v>
      </c>
      <c r="M54" s="59">
        <f t="shared" si="13"/>
        <v>71288.800000000003</v>
      </c>
      <c r="N54" s="32" t="str">
        <f t="shared" si="14"/>
        <v/>
      </c>
      <c r="O54" s="773"/>
      <c r="P54" s="261">
        <f t="shared" si="8"/>
        <v>-5000</v>
      </c>
      <c r="Q54" s="152">
        <f t="shared" si="9"/>
        <v>39</v>
      </c>
      <c r="R54" s="181" t="str">
        <f t="shared" si="27"/>
        <v/>
      </c>
      <c r="S54" s="47">
        <f t="shared" si="11"/>
        <v>39</v>
      </c>
      <c r="T54" s="263" t="str">
        <f t="shared" si="28"/>
        <v/>
      </c>
      <c r="U54" s="47">
        <f t="shared" si="16"/>
        <v>39</v>
      </c>
      <c r="V54" s="154">
        <v>5000</v>
      </c>
      <c r="W54" s="472">
        <f t="shared" si="17"/>
        <v>71288.800000000003</v>
      </c>
    </row>
    <row r="55" spans="1:23" ht="17.100000000000001" customHeight="1">
      <c r="A55" s="111">
        <v>5000</v>
      </c>
      <c r="B55" s="121">
        <f>IF(C55="O","",RANK(W55,W$24:W$74,1)+COUNTIF($W$24:W55,W55)-1)</f>
        <v>13</v>
      </c>
      <c r="C55" s="482"/>
      <c r="D55" s="269" t="s">
        <v>109</v>
      </c>
      <c r="E55" s="183">
        <v>34000</v>
      </c>
      <c r="F55" s="125">
        <v>200</v>
      </c>
      <c r="G55" s="441" t="str">
        <f t="shared" si="29"/>
        <v>50(무료)</v>
      </c>
      <c r="H55" s="183">
        <v>250</v>
      </c>
      <c r="I55" s="16">
        <f t="shared" si="6"/>
        <v>5000</v>
      </c>
      <c r="J55" s="27">
        <f t="shared" si="30"/>
        <v>31900.000000000004</v>
      </c>
      <c r="K55" s="89">
        <f t="shared" si="31"/>
        <v>11988</v>
      </c>
      <c r="L55" s="83">
        <f t="shared" si="32"/>
        <v>3020</v>
      </c>
      <c r="M55" s="33">
        <f t="shared" si="13"/>
        <v>48408.800000000003</v>
      </c>
      <c r="N55" s="30" t="str">
        <f t="shared" si="14"/>
        <v>데이터(1.75GB) 부족</v>
      </c>
      <c r="O55" s="771" t="s">
        <v>113</v>
      </c>
      <c r="P55" s="261">
        <f t="shared" si="8"/>
        <v>1750</v>
      </c>
      <c r="Q55" s="152">
        <f t="shared" si="9"/>
        <v>13</v>
      </c>
      <c r="R55" s="263" t="str">
        <f t="shared" ref="R55:R60" si="33">IF(B55=SMALL(B$55:B$60,1),B55,"")</f>
        <v/>
      </c>
      <c r="S55" s="47" t="str">
        <f t="shared" si="11"/>
        <v/>
      </c>
      <c r="T55" s="263" t="str">
        <f t="shared" ref="T55:T60" si="34">IF(S55="","",IF(B55=SMALL(S$55:S$60,1),B55,""))</f>
        <v/>
      </c>
      <c r="U55" s="47">
        <f t="shared" si="16"/>
        <v>13</v>
      </c>
      <c r="V55" s="154">
        <v>5000</v>
      </c>
      <c r="W55" s="472">
        <f t="shared" si="17"/>
        <v>48408.800000000003</v>
      </c>
    </row>
    <row r="56" spans="1:23" ht="16.5" customHeight="1">
      <c r="A56" s="111">
        <v>7000</v>
      </c>
      <c r="B56" s="121">
        <f>IF(C56="O","",RANK(W56,W$24:W$74,1)+COUNTIF($W$24:W56,W56)-1)</f>
        <v>11</v>
      </c>
      <c r="C56" s="480"/>
      <c r="D56" s="175" t="s">
        <v>108</v>
      </c>
      <c r="E56" s="185">
        <v>35500</v>
      </c>
      <c r="F56" s="129">
        <v>200</v>
      </c>
      <c r="G56" s="442" t="str">
        <f t="shared" si="29"/>
        <v>50(무료)</v>
      </c>
      <c r="H56" s="185">
        <v>500</v>
      </c>
      <c r="I56" s="6">
        <f t="shared" si="6"/>
        <v>7000</v>
      </c>
      <c r="J56" s="28">
        <f t="shared" si="30"/>
        <v>31350.000000000004</v>
      </c>
      <c r="K56" s="103">
        <f t="shared" si="31"/>
        <v>11988</v>
      </c>
      <c r="L56" s="85">
        <f t="shared" si="32"/>
        <v>3020</v>
      </c>
      <c r="M56" s="58">
        <f t="shared" si="13"/>
        <v>47858.8</v>
      </c>
      <c r="N56" s="31" t="str">
        <f t="shared" si="14"/>
        <v>데이터(1.5GB) 부족</v>
      </c>
      <c r="O56" s="772"/>
      <c r="P56" s="261">
        <f t="shared" si="8"/>
        <v>1500</v>
      </c>
      <c r="Q56" s="152">
        <f t="shared" si="9"/>
        <v>11</v>
      </c>
      <c r="R56" s="263">
        <f t="shared" si="33"/>
        <v>11</v>
      </c>
      <c r="S56" s="47" t="str">
        <f t="shared" si="11"/>
        <v/>
      </c>
      <c r="T56" s="263" t="str">
        <f t="shared" si="34"/>
        <v/>
      </c>
      <c r="U56" s="47">
        <f t="shared" si="16"/>
        <v>11</v>
      </c>
      <c r="V56" s="154">
        <v>5000</v>
      </c>
      <c r="W56" s="472">
        <f t="shared" si="17"/>
        <v>47858.8</v>
      </c>
    </row>
    <row r="57" spans="1:23" ht="17.100000000000001" customHeight="1">
      <c r="A57" s="111">
        <v>7000</v>
      </c>
      <c r="B57" s="121">
        <f>IF(C57="O","",RANK(W57,W$24:W$74,1)+COUNTIF($W$24:W57,W57)-1)</f>
        <v>17</v>
      </c>
      <c r="C57" s="480"/>
      <c r="D57" s="175" t="s">
        <v>108</v>
      </c>
      <c r="E57" s="185">
        <v>37000</v>
      </c>
      <c r="F57" s="129">
        <v>200</v>
      </c>
      <c r="G57" s="442" t="str">
        <f t="shared" si="29"/>
        <v>50(무료)</v>
      </c>
      <c r="H57" s="185">
        <v>1000</v>
      </c>
      <c r="I57" s="6">
        <f t="shared" si="6"/>
        <v>7000</v>
      </c>
      <c r="J57" s="28">
        <f t="shared" si="30"/>
        <v>33000</v>
      </c>
      <c r="K57" s="103">
        <f t="shared" si="31"/>
        <v>11988</v>
      </c>
      <c r="L57" s="85">
        <f t="shared" si="32"/>
        <v>3020</v>
      </c>
      <c r="M57" s="58">
        <f t="shared" si="13"/>
        <v>49508.800000000003</v>
      </c>
      <c r="N57" s="31" t="str">
        <f t="shared" si="14"/>
        <v>데이터(1GB) 부족</v>
      </c>
      <c r="O57" s="772"/>
      <c r="P57" s="261">
        <f t="shared" si="8"/>
        <v>1000</v>
      </c>
      <c r="Q57" s="152">
        <f t="shared" si="9"/>
        <v>17</v>
      </c>
      <c r="R57" s="263" t="str">
        <f t="shared" si="33"/>
        <v/>
      </c>
      <c r="S57" s="47" t="str">
        <f t="shared" si="11"/>
        <v/>
      </c>
      <c r="T57" s="263" t="str">
        <f t="shared" si="34"/>
        <v/>
      </c>
      <c r="U57" s="47">
        <f t="shared" si="16"/>
        <v>17</v>
      </c>
      <c r="V57" s="154">
        <v>5000</v>
      </c>
      <c r="W57" s="472">
        <f t="shared" si="17"/>
        <v>49508.800000000003</v>
      </c>
    </row>
    <row r="58" spans="1:23" ht="17.100000000000001" customHeight="1">
      <c r="A58" s="112">
        <v>10500</v>
      </c>
      <c r="B58" s="121">
        <f>IF(C58="O","",RANK(W58,W$24:W$74,1)+COUNTIF($W$24:W58,W58)-1)</f>
        <v>24</v>
      </c>
      <c r="C58" s="485"/>
      <c r="D58" s="175" t="s">
        <v>108</v>
      </c>
      <c r="E58" s="185">
        <v>45500</v>
      </c>
      <c r="F58" s="129">
        <v>200</v>
      </c>
      <c r="G58" s="442" t="str">
        <f t="shared" si="29"/>
        <v>50(무료)</v>
      </c>
      <c r="H58" s="185">
        <v>2000</v>
      </c>
      <c r="I58" s="6">
        <f t="shared" si="6"/>
        <v>10500</v>
      </c>
      <c r="J58" s="28">
        <f t="shared" si="30"/>
        <v>38500</v>
      </c>
      <c r="K58" s="103">
        <f t="shared" si="31"/>
        <v>11988</v>
      </c>
      <c r="L58" s="85">
        <f t="shared" si="32"/>
        <v>3020</v>
      </c>
      <c r="M58" s="58">
        <f t="shared" si="13"/>
        <v>55008.800000000003</v>
      </c>
      <c r="N58" s="31" t="str">
        <f t="shared" si="14"/>
        <v/>
      </c>
      <c r="O58" s="772"/>
      <c r="P58" s="261">
        <f t="shared" si="8"/>
        <v>0</v>
      </c>
      <c r="Q58" s="152">
        <f t="shared" si="9"/>
        <v>24</v>
      </c>
      <c r="R58" s="263" t="str">
        <f t="shared" si="33"/>
        <v/>
      </c>
      <c r="S58" s="47">
        <f t="shared" si="11"/>
        <v>24</v>
      </c>
      <c r="T58" s="263">
        <f t="shared" si="34"/>
        <v>24</v>
      </c>
      <c r="U58" s="47">
        <f t="shared" si="16"/>
        <v>24</v>
      </c>
      <c r="V58" s="154">
        <v>5000</v>
      </c>
      <c r="W58" s="472">
        <f t="shared" si="17"/>
        <v>55008.800000000003</v>
      </c>
    </row>
    <row r="59" spans="1:23" ht="17.100000000000001" customHeight="1">
      <c r="A59" s="147">
        <v>10500</v>
      </c>
      <c r="B59" s="121">
        <f>IF(C59="O","",RANK(W59,W$24:W$74,1)+COUNTIF($W$24:W59,W59)-1)</f>
        <v>32</v>
      </c>
      <c r="C59" s="486"/>
      <c r="D59" s="175" t="s">
        <v>108</v>
      </c>
      <c r="E59" s="185">
        <v>50500</v>
      </c>
      <c r="F59" s="129">
        <v>200</v>
      </c>
      <c r="G59" s="442" t="str">
        <f t="shared" si="29"/>
        <v>50(무료)</v>
      </c>
      <c r="H59" s="185">
        <v>3500</v>
      </c>
      <c r="I59" s="6">
        <f t="shared" si="6"/>
        <v>10500</v>
      </c>
      <c r="J59" s="28">
        <f t="shared" si="30"/>
        <v>44000</v>
      </c>
      <c r="K59" s="84">
        <f t="shared" si="31"/>
        <v>11988</v>
      </c>
      <c r="L59" s="85">
        <f t="shared" si="32"/>
        <v>3020</v>
      </c>
      <c r="M59" s="58">
        <f t="shared" si="13"/>
        <v>60508.800000000003</v>
      </c>
      <c r="N59" s="31" t="str">
        <f t="shared" si="14"/>
        <v/>
      </c>
      <c r="O59" s="772"/>
      <c r="P59" s="261">
        <f t="shared" si="8"/>
        <v>-1500</v>
      </c>
      <c r="Q59" s="152">
        <f t="shared" si="9"/>
        <v>32</v>
      </c>
      <c r="R59" s="263" t="str">
        <f t="shared" si="33"/>
        <v/>
      </c>
      <c r="S59" s="47">
        <f t="shared" si="11"/>
        <v>32</v>
      </c>
      <c r="T59" s="263" t="str">
        <f t="shared" si="34"/>
        <v/>
      </c>
      <c r="U59" s="47">
        <f t="shared" si="16"/>
        <v>32</v>
      </c>
      <c r="V59" s="154">
        <v>5000</v>
      </c>
      <c r="W59" s="472">
        <f t="shared" si="17"/>
        <v>60508.800000000003</v>
      </c>
    </row>
    <row r="60" spans="1:23" ht="17.100000000000001" customHeight="1" thickBot="1">
      <c r="A60" s="147">
        <v>13500</v>
      </c>
      <c r="B60" s="121">
        <f>IF(C60="O","",RANK(W60,W$24:W$74,1)+COUNTIF($W$24:W60,W60)-1)</f>
        <v>36</v>
      </c>
      <c r="C60" s="488"/>
      <c r="D60" s="175" t="s">
        <v>108</v>
      </c>
      <c r="E60" s="186">
        <v>59000</v>
      </c>
      <c r="F60" s="129">
        <v>200</v>
      </c>
      <c r="G60" s="443" t="str">
        <f t="shared" si="29"/>
        <v>50(무료)</v>
      </c>
      <c r="H60" s="186">
        <v>7000</v>
      </c>
      <c r="I60" s="8">
        <f t="shared" si="6"/>
        <v>13500</v>
      </c>
      <c r="J60" s="29">
        <f t="shared" si="30"/>
        <v>50050.000000000007</v>
      </c>
      <c r="K60" s="86">
        <f t="shared" si="31"/>
        <v>11988</v>
      </c>
      <c r="L60" s="87">
        <f t="shared" si="32"/>
        <v>3020</v>
      </c>
      <c r="M60" s="59">
        <f t="shared" si="13"/>
        <v>66558.800000000017</v>
      </c>
      <c r="N60" s="32" t="str">
        <f t="shared" si="14"/>
        <v/>
      </c>
      <c r="O60" s="773"/>
      <c r="P60" s="261">
        <f t="shared" si="8"/>
        <v>-5000</v>
      </c>
      <c r="Q60" s="152">
        <f t="shared" si="9"/>
        <v>36</v>
      </c>
      <c r="R60" s="263" t="str">
        <f t="shared" si="33"/>
        <v/>
      </c>
      <c r="S60" s="47">
        <f t="shared" si="11"/>
        <v>36</v>
      </c>
      <c r="T60" s="263" t="str">
        <f t="shared" si="34"/>
        <v/>
      </c>
      <c r="U60" s="47">
        <f t="shared" si="16"/>
        <v>36</v>
      </c>
      <c r="V60" s="154">
        <v>5000</v>
      </c>
      <c r="W60" s="472">
        <f t="shared" si="17"/>
        <v>66558.800000000017</v>
      </c>
    </row>
    <row r="61" spans="1:23" ht="17.100000000000001" customHeight="1">
      <c r="A61" s="111">
        <v>10500</v>
      </c>
      <c r="B61" s="121">
        <f>IF(C61="O","",RANK(W61,W$24:W$74,1)+COUNTIF($W$24:W61,W61)-1)</f>
        <v>1</v>
      </c>
      <c r="C61" s="484"/>
      <c r="D61" s="269" t="s">
        <v>110</v>
      </c>
      <c r="E61" s="183">
        <v>44500</v>
      </c>
      <c r="F61" s="125">
        <v>300</v>
      </c>
      <c r="G61" s="441" t="str">
        <f t="shared" si="29"/>
        <v>50(무료)</v>
      </c>
      <c r="H61" s="183">
        <v>250</v>
      </c>
      <c r="I61" s="16">
        <f t="shared" si="6"/>
        <v>10500</v>
      </c>
      <c r="J61" s="27">
        <f t="shared" si="30"/>
        <v>37400</v>
      </c>
      <c r="K61" s="89">
        <f t="shared" si="31"/>
        <v>1188</v>
      </c>
      <c r="L61" s="83">
        <f t="shared" si="32"/>
        <v>3020</v>
      </c>
      <c r="M61" s="33">
        <f t="shared" si="13"/>
        <v>42028.800000000003</v>
      </c>
      <c r="N61" s="30" t="str">
        <f t="shared" si="14"/>
        <v>데이터(1.75GB) 부족</v>
      </c>
      <c r="O61" s="771" t="s">
        <v>114</v>
      </c>
      <c r="P61" s="261">
        <f t="shared" si="8"/>
        <v>1750</v>
      </c>
      <c r="Q61" s="152">
        <f t="shared" si="9"/>
        <v>1</v>
      </c>
      <c r="R61" s="263">
        <f t="shared" ref="R61:R66" si="35">IF(B61=SMALL(B$61:B$66,1),B61,"")</f>
        <v>1</v>
      </c>
      <c r="S61" s="47" t="str">
        <f t="shared" si="11"/>
        <v/>
      </c>
      <c r="T61" s="263" t="str">
        <f t="shared" ref="T61:T66" si="36">IF(S61="","",IF(B61=SMALL(S$61:S$66,1),B61,""))</f>
        <v/>
      </c>
      <c r="U61" s="47">
        <f t="shared" si="16"/>
        <v>1</v>
      </c>
      <c r="V61" s="154">
        <v>5000</v>
      </c>
      <c r="W61" s="472">
        <f t="shared" si="17"/>
        <v>42028.800000000003</v>
      </c>
    </row>
    <row r="62" spans="1:23" ht="17.100000000000001" customHeight="1">
      <c r="A62" s="111">
        <v>10500</v>
      </c>
      <c r="B62" s="121">
        <f>IF(C62="O","",RANK(W62,W$24:W$74,1)+COUNTIF($W$24:W62,W62)-1)</f>
        <v>3</v>
      </c>
      <c r="C62" s="480"/>
      <c r="D62" s="175" t="s">
        <v>110</v>
      </c>
      <c r="E62" s="185">
        <v>47000</v>
      </c>
      <c r="F62" s="129">
        <v>300</v>
      </c>
      <c r="G62" s="442" t="str">
        <f t="shared" si="29"/>
        <v>50(무료)</v>
      </c>
      <c r="H62" s="185">
        <v>500</v>
      </c>
      <c r="I62" s="6">
        <f t="shared" si="6"/>
        <v>10500</v>
      </c>
      <c r="J62" s="28">
        <f t="shared" si="30"/>
        <v>40150</v>
      </c>
      <c r="K62" s="103">
        <f t="shared" si="31"/>
        <v>1188</v>
      </c>
      <c r="L62" s="85">
        <f t="shared" si="32"/>
        <v>3020</v>
      </c>
      <c r="M62" s="58">
        <f t="shared" si="13"/>
        <v>44778.8</v>
      </c>
      <c r="N62" s="31" t="str">
        <f t="shared" si="14"/>
        <v>데이터(1.5GB) 부족</v>
      </c>
      <c r="O62" s="772"/>
      <c r="P62" s="261">
        <f t="shared" si="8"/>
        <v>1500</v>
      </c>
      <c r="Q62" s="152">
        <f t="shared" si="9"/>
        <v>3</v>
      </c>
      <c r="R62" s="263" t="str">
        <f t="shared" si="35"/>
        <v/>
      </c>
      <c r="S62" s="47" t="str">
        <f t="shared" si="11"/>
        <v/>
      </c>
      <c r="T62" s="263" t="str">
        <f t="shared" si="36"/>
        <v/>
      </c>
      <c r="U62" s="47">
        <f t="shared" si="16"/>
        <v>3</v>
      </c>
      <c r="V62" s="154">
        <v>5000</v>
      </c>
      <c r="W62" s="472">
        <f t="shared" si="17"/>
        <v>44778.8</v>
      </c>
    </row>
    <row r="63" spans="1:23" ht="17.100000000000001" customHeight="1">
      <c r="A63" s="111">
        <v>10500</v>
      </c>
      <c r="B63" s="121">
        <f>IF(C63="O","",RANK(W63,W$24:W$74,1)+COUNTIF($W$24:W63,W63)-1)</f>
        <v>7</v>
      </c>
      <c r="C63" s="480"/>
      <c r="D63" s="175" t="s">
        <v>110</v>
      </c>
      <c r="E63" s="185">
        <v>49500</v>
      </c>
      <c r="F63" s="129">
        <v>300</v>
      </c>
      <c r="G63" s="442" t="str">
        <f t="shared" si="29"/>
        <v>50(무료)</v>
      </c>
      <c r="H63" s="185">
        <v>1000</v>
      </c>
      <c r="I63" s="6">
        <f t="shared" si="6"/>
        <v>10500</v>
      </c>
      <c r="J63" s="28">
        <f t="shared" si="30"/>
        <v>42900</v>
      </c>
      <c r="K63" s="103">
        <f t="shared" si="31"/>
        <v>1188</v>
      </c>
      <c r="L63" s="85">
        <f t="shared" si="32"/>
        <v>3020</v>
      </c>
      <c r="M63" s="58">
        <f t="shared" si="13"/>
        <v>47528.800000000003</v>
      </c>
      <c r="N63" s="31" t="str">
        <f t="shared" si="14"/>
        <v>데이터(1GB) 부족</v>
      </c>
      <c r="O63" s="772"/>
      <c r="P63" s="261">
        <f t="shared" si="8"/>
        <v>1000</v>
      </c>
      <c r="Q63" s="152">
        <f t="shared" si="9"/>
        <v>7</v>
      </c>
      <c r="R63" s="263" t="str">
        <f t="shared" si="35"/>
        <v/>
      </c>
      <c r="S63" s="47" t="str">
        <f t="shared" si="11"/>
        <v/>
      </c>
      <c r="T63" s="263" t="str">
        <f t="shared" si="36"/>
        <v/>
      </c>
      <c r="U63" s="47">
        <f t="shared" si="16"/>
        <v>7</v>
      </c>
      <c r="V63" s="154">
        <v>5000</v>
      </c>
      <c r="W63" s="472">
        <f t="shared" si="17"/>
        <v>47528.800000000003</v>
      </c>
    </row>
    <row r="64" spans="1:23" ht="17.100000000000001" customHeight="1">
      <c r="A64" s="112">
        <v>13500</v>
      </c>
      <c r="B64" s="121">
        <f>IF(C64="O","",RANK(W64,W$24:W$74,1)+COUNTIF($W$24:W64,W64)-1)</f>
        <v>19</v>
      </c>
      <c r="C64" s="485"/>
      <c r="D64" s="175" t="s">
        <v>110</v>
      </c>
      <c r="E64" s="185">
        <v>54500</v>
      </c>
      <c r="F64" s="129">
        <v>300</v>
      </c>
      <c r="G64" s="442" t="str">
        <f t="shared" si="29"/>
        <v>50(무료)</v>
      </c>
      <c r="H64" s="185">
        <v>2000</v>
      </c>
      <c r="I64" s="6">
        <f t="shared" si="6"/>
        <v>13500</v>
      </c>
      <c r="J64" s="28">
        <f t="shared" si="30"/>
        <v>45100.000000000007</v>
      </c>
      <c r="K64" s="103">
        <f t="shared" si="31"/>
        <v>1188</v>
      </c>
      <c r="L64" s="85">
        <f t="shared" si="32"/>
        <v>3020</v>
      </c>
      <c r="M64" s="58">
        <f t="shared" si="13"/>
        <v>49728.80000000001</v>
      </c>
      <c r="N64" s="31" t="str">
        <f t="shared" si="14"/>
        <v/>
      </c>
      <c r="O64" s="772"/>
      <c r="P64" s="261">
        <f t="shared" si="8"/>
        <v>0</v>
      </c>
      <c r="Q64" s="152">
        <f t="shared" si="9"/>
        <v>19</v>
      </c>
      <c r="R64" s="263" t="str">
        <f t="shared" si="35"/>
        <v/>
      </c>
      <c r="S64" s="47">
        <f t="shared" si="11"/>
        <v>19</v>
      </c>
      <c r="T64" s="263">
        <f t="shared" si="36"/>
        <v>19</v>
      </c>
      <c r="U64" s="47">
        <f t="shared" si="16"/>
        <v>19</v>
      </c>
      <c r="V64" s="154">
        <v>5000</v>
      </c>
      <c r="W64" s="472">
        <f t="shared" si="17"/>
        <v>49728.80000000001</v>
      </c>
    </row>
    <row r="65" spans="1:23" ht="17.100000000000001" customHeight="1">
      <c r="A65" s="147">
        <v>13500</v>
      </c>
      <c r="B65" s="121">
        <f>IF(C65="O","",RANK(W65,W$24:W$74,1)+COUNTIF($W$24:W65,W65)-1)</f>
        <v>21</v>
      </c>
      <c r="C65" s="486"/>
      <c r="D65" s="175" t="s">
        <v>110</v>
      </c>
      <c r="E65" s="185">
        <v>56500</v>
      </c>
      <c r="F65" s="129">
        <v>300</v>
      </c>
      <c r="G65" s="442" t="str">
        <f t="shared" si="29"/>
        <v>50(무료)</v>
      </c>
      <c r="H65" s="185">
        <v>3500</v>
      </c>
      <c r="I65" s="6">
        <f t="shared" si="6"/>
        <v>13500</v>
      </c>
      <c r="J65" s="28">
        <f t="shared" si="30"/>
        <v>47300.000000000007</v>
      </c>
      <c r="K65" s="84">
        <f t="shared" si="31"/>
        <v>1188</v>
      </c>
      <c r="L65" s="85">
        <f t="shared" si="32"/>
        <v>3020</v>
      </c>
      <c r="M65" s="58">
        <f t="shared" si="13"/>
        <v>51928.80000000001</v>
      </c>
      <c r="N65" s="31" t="str">
        <f t="shared" si="14"/>
        <v/>
      </c>
      <c r="O65" s="772"/>
      <c r="P65" s="261">
        <f t="shared" si="8"/>
        <v>-1500</v>
      </c>
      <c r="Q65" s="152">
        <f t="shared" si="9"/>
        <v>21</v>
      </c>
      <c r="R65" s="263" t="str">
        <f t="shared" si="35"/>
        <v/>
      </c>
      <c r="S65" s="47">
        <f t="shared" si="11"/>
        <v>21</v>
      </c>
      <c r="T65" s="263" t="str">
        <f t="shared" si="36"/>
        <v/>
      </c>
      <c r="U65" s="47">
        <f t="shared" si="16"/>
        <v>21</v>
      </c>
      <c r="V65" s="154">
        <v>5000</v>
      </c>
      <c r="W65" s="472">
        <f t="shared" si="17"/>
        <v>51928.80000000001</v>
      </c>
    </row>
    <row r="66" spans="1:23" ht="17.100000000000001" customHeight="1" thickBot="1">
      <c r="A66" s="147">
        <v>18000</v>
      </c>
      <c r="B66" s="121">
        <f>IF(C66="O","",RANK(W66,W$24:W$74,1)+COUNTIF($W$24:W66,W66)-1)</f>
        <v>30</v>
      </c>
      <c r="C66" s="487"/>
      <c r="D66" s="175" t="s">
        <v>110</v>
      </c>
      <c r="E66" s="186">
        <v>68000</v>
      </c>
      <c r="F66" s="129">
        <v>300</v>
      </c>
      <c r="G66" s="443" t="str">
        <f t="shared" si="29"/>
        <v>50(무료)</v>
      </c>
      <c r="H66" s="186">
        <v>7000</v>
      </c>
      <c r="I66" s="8">
        <f t="shared" si="6"/>
        <v>18000</v>
      </c>
      <c r="J66" s="29">
        <f t="shared" si="30"/>
        <v>55000.000000000007</v>
      </c>
      <c r="K66" s="86">
        <f t="shared" si="31"/>
        <v>1188</v>
      </c>
      <c r="L66" s="87">
        <f t="shared" si="32"/>
        <v>3020</v>
      </c>
      <c r="M66" s="59">
        <f t="shared" si="13"/>
        <v>59628.80000000001</v>
      </c>
      <c r="N66" s="32" t="str">
        <f t="shared" si="14"/>
        <v/>
      </c>
      <c r="O66" s="773"/>
      <c r="P66" s="261">
        <f t="shared" si="8"/>
        <v>-5000</v>
      </c>
      <c r="Q66" s="152">
        <f t="shared" si="9"/>
        <v>30</v>
      </c>
      <c r="R66" s="263" t="str">
        <f t="shared" si="35"/>
        <v/>
      </c>
      <c r="S66" s="47">
        <f t="shared" si="11"/>
        <v>30</v>
      </c>
      <c r="T66" s="263" t="str">
        <f t="shared" si="36"/>
        <v/>
      </c>
      <c r="U66" s="47">
        <f t="shared" si="16"/>
        <v>30</v>
      </c>
      <c r="V66" s="154">
        <v>8000</v>
      </c>
      <c r="W66" s="472">
        <f t="shared" si="17"/>
        <v>59628.80000000001</v>
      </c>
    </row>
    <row r="67" spans="1:23" ht="17.100000000000001" customHeight="1">
      <c r="A67" s="111">
        <v>13500</v>
      </c>
      <c r="B67" s="121">
        <f>IF(C67="O","",RANK(W67,W$24:W$74,1)+COUNTIF($W$24:W67,W67)-1)</f>
        <v>14</v>
      </c>
      <c r="C67" s="482"/>
      <c r="D67" s="269" t="s">
        <v>111</v>
      </c>
      <c r="E67" s="183">
        <v>54500</v>
      </c>
      <c r="F67" s="125">
        <v>400</v>
      </c>
      <c r="G67" s="441" t="str">
        <f t="shared" si="29"/>
        <v>50(무료)</v>
      </c>
      <c r="H67" s="183">
        <v>250</v>
      </c>
      <c r="I67" s="16">
        <f t="shared" si="6"/>
        <v>13500</v>
      </c>
      <c r="J67" s="27">
        <f t="shared" si="30"/>
        <v>45100.000000000007</v>
      </c>
      <c r="K67" s="89">
        <f t="shared" si="31"/>
        <v>0</v>
      </c>
      <c r="L67" s="83">
        <f t="shared" si="32"/>
        <v>3020</v>
      </c>
      <c r="M67" s="33">
        <f t="shared" si="13"/>
        <v>48422.000000000007</v>
      </c>
      <c r="N67" s="30" t="str">
        <f t="shared" si="14"/>
        <v>데이터(1.75GB) 부족</v>
      </c>
      <c r="O67" s="771" t="s">
        <v>115</v>
      </c>
      <c r="P67" s="261">
        <f t="shared" si="8"/>
        <v>1750</v>
      </c>
      <c r="Q67" s="152">
        <f t="shared" si="9"/>
        <v>14</v>
      </c>
      <c r="R67" s="263">
        <f t="shared" ref="R67:R72" si="37">IF(B67=SMALL(B$67:B$72,1),B67,"")</f>
        <v>14</v>
      </c>
      <c r="S67" s="47" t="str">
        <f t="shared" si="11"/>
        <v/>
      </c>
      <c r="T67" s="263" t="str">
        <f t="shared" ref="T67:T72" si="38">IF(S67="","",IF(B67=SMALL(S$67:S$72,1),B67,""))</f>
        <v/>
      </c>
      <c r="U67" s="47">
        <f t="shared" si="16"/>
        <v>14</v>
      </c>
      <c r="V67" s="154">
        <v>5000</v>
      </c>
      <c r="W67" s="472">
        <f t="shared" si="17"/>
        <v>48422.000000000007</v>
      </c>
    </row>
    <row r="68" spans="1:23" ht="17.100000000000001" customHeight="1">
      <c r="A68" s="111">
        <v>13500</v>
      </c>
      <c r="B68" s="121">
        <f>IF(C68="O","",RANK(W68,W$24:W$74,1)+COUNTIF($W$24:W68,W68)-1)</f>
        <v>20</v>
      </c>
      <c r="C68" s="480"/>
      <c r="D68" s="175" t="s">
        <v>111</v>
      </c>
      <c r="E68" s="185">
        <v>56000</v>
      </c>
      <c r="F68" s="129">
        <v>400</v>
      </c>
      <c r="G68" s="442" t="str">
        <f t="shared" si="29"/>
        <v>50(무료)</v>
      </c>
      <c r="H68" s="185">
        <v>500</v>
      </c>
      <c r="I68" s="6">
        <f t="shared" si="6"/>
        <v>13500</v>
      </c>
      <c r="J68" s="28">
        <f t="shared" si="30"/>
        <v>46750.000000000007</v>
      </c>
      <c r="K68" s="103">
        <f t="shared" si="31"/>
        <v>0</v>
      </c>
      <c r="L68" s="85">
        <f t="shared" si="32"/>
        <v>3020</v>
      </c>
      <c r="M68" s="58">
        <f t="shared" si="13"/>
        <v>50072.000000000007</v>
      </c>
      <c r="N68" s="31" t="str">
        <f t="shared" si="14"/>
        <v>데이터(1.5GB) 부족</v>
      </c>
      <c r="O68" s="772"/>
      <c r="P68" s="261">
        <f t="shared" si="8"/>
        <v>1500</v>
      </c>
      <c r="Q68" s="152">
        <f t="shared" si="9"/>
        <v>20</v>
      </c>
      <c r="R68" s="263" t="str">
        <f t="shared" si="37"/>
        <v/>
      </c>
      <c r="S68" s="47" t="str">
        <f t="shared" si="11"/>
        <v/>
      </c>
      <c r="T68" s="263" t="str">
        <f t="shared" si="38"/>
        <v/>
      </c>
      <c r="U68" s="47">
        <f t="shared" si="16"/>
        <v>20</v>
      </c>
      <c r="V68" s="154">
        <v>5000</v>
      </c>
      <c r="W68" s="472">
        <f t="shared" si="17"/>
        <v>50072.000000000007</v>
      </c>
    </row>
    <row r="69" spans="1:23" ht="17.100000000000001" customHeight="1">
      <c r="A69" s="111">
        <v>13500</v>
      </c>
      <c r="B69" s="121">
        <f>IF(C69="O","",RANK(W69,W$24:W$74,1)+COUNTIF($W$24:W69,W69)-1)</f>
        <v>22</v>
      </c>
      <c r="C69" s="480"/>
      <c r="D69" s="175" t="s">
        <v>111</v>
      </c>
      <c r="E69" s="185">
        <v>58500</v>
      </c>
      <c r="F69" s="129">
        <v>400</v>
      </c>
      <c r="G69" s="442" t="str">
        <f t="shared" si="29"/>
        <v>50(무료)</v>
      </c>
      <c r="H69" s="185">
        <v>1000</v>
      </c>
      <c r="I69" s="6">
        <f t="shared" si="6"/>
        <v>13500</v>
      </c>
      <c r="J69" s="28">
        <f t="shared" si="30"/>
        <v>49500.000000000007</v>
      </c>
      <c r="K69" s="103">
        <f t="shared" si="31"/>
        <v>0</v>
      </c>
      <c r="L69" s="85">
        <f t="shared" si="32"/>
        <v>3020</v>
      </c>
      <c r="M69" s="58">
        <f t="shared" si="13"/>
        <v>52822.000000000007</v>
      </c>
      <c r="N69" s="31" t="str">
        <f t="shared" si="14"/>
        <v>데이터(1GB) 부족</v>
      </c>
      <c r="O69" s="772"/>
      <c r="P69" s="261">
        <f t="shared" si="8"/>
        <v>1000</v>
      </c>
      <c r="Q69" s="152">
        <f t="shared" si="9"/>
        <v>22</v>
      </c>
      <c r="R69" s="263" t="str">
        <f t="shared" si="37"/>
        <v/>
      </c>
      <c r="S69" s="47" t="str">
        <f t="shared" si="11"/>
        <v/>
      </c>
      <c r="T69" s="263" t="str">
        <f t="shared" si="38"/>
        <v/>
      </c>
      <c r="U69" s="47">
        <f t="shared" si="16"/>
        <v>22</v>
      </c>
      <c r="V69" s="154">
        <v>5000</v>
      </c>
      <c r="W69" s="472">
        <f t="shared" si="17"/>
        <v>52822.000000000007</v>
      </c>
    </row>
    <row r="70" spans="1:23" ht="17.100000000000001" customHeight="1">
      <c r="A70" s="112">
        <v>13500</v>
      </c>
      <c r="B70" s="121">
        <f>IF(C70="O","",RANK(W70,W$24:W$74,1)+COUNTIF($W$24:W70,W70)-1)</f>
        <v>26</v>
      </c>
      <c r="C70" s="485"/>
      <c r="D70" s="175" t="s">
        <v>111</v>
      </c>
      <c r="E70" s="185">
        <v>61500</v>
      </c>
      <c r="F70" s="129">
        <v>400</v>
      </c>
      <c r="G70" s="442" t="str">
        <f t="shared" si="29"/>
        <v>50(무료)</v>
      </c>
      <c r="H70" s="185">
        <v>2000</v>
      </c>
      <c r="I70" s="6">
        <f t="shared" si="6"/>
        <v>13500</v>
      </c>
      <c r="J70" s="28">
        <f t="shared" si="30"/>
        <v>52800.000000000007</v>
      </c>
      <c r="K70" s="103">
        <f t="shared" si="31"/>
        <v>0</v>
      </c>
      <c r="L70" s="85">
        <f t="shared" si="32"/>
        <v>3020</v>
      </c>
      <c r="M70" s="58">
        <f t="shared" si="13"/>
        <v>56122.000000000007</v>
      </c>
      <c r="N70" s="31" t="str">
        <f t="shared" si="14"/>
        <v/>
      </c>
      <c r="O70" s="772"/>
      <c r="P70" s="261">
        <f t="shared" si="8"/>
        <v>0</v>
      </c>
      <c r="Q70" s="152">
        <f t="shared" si="9"/>
        <v>26</v>
      </c>
      <c r="R70" s="263" t="str">
        <f t="shared" si="37"/>
        <v/>
      </c>
      <c r="S70" s="47">
        <f t="shared" si="11"/>
        <v>26</v>
      </c>
      <c r="T70" s="263">
        <f t="shared" si="38"/>
        <v>26</v>
      </c>
      <c r="U70" s="47">
        <f t="shared" si="16"/>
        <v>26</v>
      </c>
      <c r="V70" s="154">
        <v>5000</v>
      </c>
      <c r="W70" s="472">
        <f t="shared" si="17"/>
        <v>56122.000000000007</v>
      </c>
    </row>
    <row r="71" spans="1:23" ht="17.100000000000001" customHeight="1">
      <c r="A71" s="147">
        <v>18000</v>
      </c>
      <c r="B71" s="121">
        <f>IF(C71="O","",RANK(W71,W$24:W$74,1)+COUNTIF($W$24:W71,W71)-1)</f>
        <v>29</v>
      </c>
      <c r="C71" s="486"/>
      <c r="D71" s="175" t="s">
        <v>111</v>
      </c>
      <c r="E71" s="185">
        <v>67000</v>
      </c>
      <c r="F71" s="129">
        <v>400</v>
      </c>
      <c r="G71" s="442" t="str">
        <f t="shared" si="29"/>
        <v>50(무료)</v>
      </c>
      <c r="H71" s="185">
        <v>3500</v>
      </c>
      <c r="I71" s="6">
        <f t="shared" si="6"/>
        <v>18000</v>
      </c>
      <c r="J71" s="28">
        <f t="shared" si="30"/>
        <v>53900.000000000007</v>
      </c>
      <c r="K71" s="84">
        <f t="shared" si="31"/>
        <v>0</v>
      </c>
      <c r="L71" s="85">
        <f t="shared" si="32"/>
        <v>3020</v>
      </c>
      <c r="M71" s="58">
        <f t="shared" si="13"/>
        <v>57222.000000000007</v>
      </c>
      <c r="N71" s="31" t="str">
        <f t="shared" si="14"/>
        <v/>
      </c>
      <c r="O71" s="772"/>
      <c r="P71" s="261">
        <f t="shared" si="8"/>
        <v>-1500</v>
      </c>
      <c r="Q71" s="152">
        <f t="shared" si="9"/>
        <v>29</v>
      </c>
      <c r="R71" s="263" t="str">
        <f t="shared" si="37"/>
        <v/>
      </c>
      <c r="S71" s="47">
        <f t="shared" si="11"/>
        <v>29</v>
      </c>
      <c r="T71" s="263" t="str">
        <f t="shared" si="38"/>
        <v/>
      </c>
      <c r="U71" s="47">
        <f t="shared" si="16"/>
        <v>29</v>
      </c>
      <c r="V71" s="154">
        <v>8000</v>
      </c>
      <c r="W71" s="472">
        <f t="shared" si="17"/>
        <v>57222.000000000007</v>
      </c>
    </row>
    <row r="72" spans="1:23" ht="17.100000000000001" customHeight="1" thickBot="1">
      <c r="A72" s="147">
        <v>18000</v>
      </c>
      <c r="B72" s="121">
        <f>IF(C72="O","",RANK(W72,W$24:W$74,1)+COUNTIF($W$24:W72,W72)-1)</f>
        <v>31</v>
      </c>
      <c r="C72" s="488"/>
      <c r="D72" s="177" t="s">
        <v>111</v>
      </c>
      <c r="E72" s="186">
        <v>69500</v>
      </c>
      <c r="F72" s="132">
        <v>400</v>
      </c>
      <c r="G72" s="443" t="str">
        <f t="shared" si="29"/>
        <v>50(무료)</v>
      </c>
      <c r="H72" s="186">
        <v>7000</v>
      </c>
      <c r="I72" s="8">
        <f t="shared" si="6"/>
        <v>18000</v>
      </c>
      <c r="J72" s="29">
        <f t="shared" si="30"/>
        <v>56650.000000000007</v>
      </c>
      <c r="K72" s="86">
        <f t="shared" si="31"/>
        <v>0</v>
      </c>
      <c r="L72" s="87">
        <f t="shared" si="32"/>
        <v>3020</v>
      </c>
      <c r="M72" s="59">
        <f t="shared" si="13"/>
        <v>59972.000000000007</v>
      </c>
      <c r="N72" s="32" t="str">
        <f t="shared" si="14"/>
        <v/>
      </c>
      <c r="O72" s="773"/>
      <c r="P72" s="261">
        <f t="shared" si="8"/>
        <v>-5000</v>
      </c>
      <c r="Q72" s="152">
        <f t="shared" si="9"/>
        <v>31</v>
      </c>
      <c r="R72" s="263" t="str">
        <f t="shared" si="37"/>
        <v/>
      </c>
      <c r="S72" s="47">
        <f t="shared" si="11"/>
        <v>31</v>
      </c>
      <c r="T72" s="263" t="str">
        <f t="shared" si="38"/>
        <v/>
      </c>
      <c r="U72" s="47">
        <f t="shared" si="16"/>
        <v>31</v>
      </c>
      <c r="V72" s="154">
        <v>8000</v>
      </c>
      <c r="W72" s="472">
        <f t="shared" si="17"/>
        <v>59972.000000000007</v>
      </c>
    </row>
    <row r="73" spans="1:23" s="108" customFormat="1" ht="20.100000000000001" customHeight="1">
      <c r="A73" s="147">
        <v>18000</v>
      </c>
      <c r="B73" s="121">
        <f>IF(C73="O","",RANK(W73,W$24:W$74,1)+COUNTIF($W$24:W73,W73)-1)</f>
        <v>37</v>
      </c>
      <c r="C73" s="489"/>
      <c r="D73" s="269" t="s">
        <v>208</v>
      </c>
      <c r="E73" s="183">
        <v>80000</v>
      </c>
      <c r="F73" s="165" t="s">
        <v>79</v>
      </c>
      <c r="G73" s="173" t="s">
        <v>84</v>
      </c>
      <c r="H73" s="252" t="s">
        <v>15</v>
      </c>
      <c r="I73" s="16">
        <f t="shared" si="6"/>
        <v>18000</v>
      </c>
      <c r="J73" s="27">
        <f t="shared" ref="J73:J74" si="39">IF($N$10="X",(E73-I73)*1.1,(E73-I73)*1.1*0.65)</f>
        <v>68200</v>
      </c>
      <c r="K73" s="82">
        <f t="shared" si="31"/>
        <v>0</v>
      </c>
      <c r="L73" s="83">
        <f t="shared" ref="L73:L74" si="40">IF($F$10&lt;$G73,0,($F$10-G73)*20)*IF($N$10="O",0.65,1)</f>
        <v>0</v>
      </c>
      <c r="M73" s="33">
        <f t="shared" si="13"/>
        <v>68200</v>
      </c>
      <c r="N73" s="30" t="str">
        <f t="shared" si="14"/>
        <v/>
      </c>
      <c r="O73" s="747" t="s">
        <v>210</v>
      </c>
      <c r="P73" s="108">
        <v>1</v>
      </c>
      <c r="Q73" s="152">
        <f t="shared" si="9"/>
        <v>37</v>
      </c>
      <c r="R73" s="47">
        <f>B73</f>
        <v>37</v>
      </c>
      <c r="S73" s="47">
        <f t="shared" si="11"/>
        <v>37</v>
      </c>
      <c r="T73" s="47">
        <f t="shared" ref="T73:T74" si="41">S73</f>
        <v>37</v>
      </c>
      <c r="U73" s="47">
        <f t="shared" si="16"/>
        <v>37</v>
      </c>
      <c r="V73" s="154">
        <v>8000</v>
      </c>
      <c r="W73" s="472">
        <f t="shared" si="17"/>
        <v>68200</v>
      </c>
    </row>
    <row r="74" spans="1:23" s="108" customFormat="1" ht="20.100000000000001" customHeight="1" thickBot="1">
      <c r="A74" s="147">
        <v>18000</v>
      </c>
      <c r="B74" s="121">
        <f>IF(C74="O","",RANK(W74,W$24:W$74,1)+COUNTIF($W$24:W74,W74)-1)</f>
        <v>41</v>
      </c>
      <c r="C74" s="488"/>
      <c r="D74" s="177" t="s">
        <v>209</v>
      </c>
      <c r="E74" s="186">
        <v>85000</v>
      </c>
      <c r="F74" s="432" t="s">
        <v>79</v>
      </c>
      <c r="G74" s="251" t="s">
        <v>84</v>
      </c>
      <c r="H74" s="253" t="s">
        <v>15</v>
      </c>
      <c r="I74" s="8">
        <f t="shared" si="6"/>
        <v>18000</v>
      </c>
      <c r="J74" s="255">
        <f t="shared" si="39"/>
        <v>73700</v>
      </c>
      <c r="K74" s="86">
        <f t="shared" si="31"/>
        <v>0</v>
      </c>
      <c r="L74" s="87">
        <f t="shared" si="40"/>
        <v>0</v>
      </c>
      <c r="M74" s="59">
        <f t="shared" si="13"/>
        <v>73700</v>
      </c>
      <c r="N74" s="32" t="str">
        <f t="shared" si="14"/>
        <v/>
      </c>
      <c r="O74" s="748"/>
      <c r="P74" s="108">
        <v>1</v>
      </c>
      <c r="Q74" s="152">
        <f t="shared" si="9"/>
        <v>41</v>
      </c>
      <c r="R74" s="47">
        <f>B74</f>
        <v>41</v>
      </c>
      <c r="S74" s="47">
        <f t="shared" si="11"/>
        <v>41</v>
      </c>
      <c r="T74" s="47">
        <f t="shared" si="41"/>
        <v>41</v>
      </c>
      <c r="U74" s="47">
        <f t="shared" si="16"/>
        <v>41</v>
      </c>
      <c r="V74" s="154">
        <v>8000</v>
      </c>
      <c r="W74" s="472">
        <f t="shared" si="17"/>
        <v>73700</v>
      </c>
    </row>
    <row r="75" spans="1:23" s="108" customFormat="1" ht="17.100000000000001" customHeight="1">
      <c r="A75" s="106"/>
      <c r="B75" s="106"/>
      <c r="C75" s="41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254"/>
      <c r="Q75" s="107"/>
      <c r="R75" s="107"/>
      <c r="S75" s="107"/>
      <c r="T75" s="107"/>
      <c r="U75" s="107"/>
      <c r="V75" s="106"/>
      <c r="W75" s="473"/>
    </row>
    <row r="76" spans="1:23" s="108" customFormat="1" ht="17.100000000000001" customHeight="1">
      <c r="A76" s="106"/>
      <c r="B76" s="106"/>
      <c r="C76" s="41"/>
      <c r="D76" s="179" t="s">
        <v>116</v>
      </c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Q76" s="107"/>
      <c r="R76" s="107"/>
      <c r="S76" s="107"/>
      <c r="T76" s="107"/>
      <c r="U76" s="107"/>
      <c r="V76" s="106"/>
      <c r="W76" s="473"/>
    </row>
    <row r="77" spans="1:23" s="108" customFormat="1" ht="17.100000000000001" customHeight="1">
      <c r="A77" s="106"/>
      <c r="B77" s="106"/>
      <c r="C77" s="41"/>
      <c r="D77" s="179" t="s">
        <v>184</v>
      </c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Q77" s="107"/>
      <c r="R77" s="107"/>
      <c r="S77" s="107"/>
      <c r="T77" s="107"/>
      <c r="U77" s="107"/>
      <c r="V77" s="106"/>
      <c r="W77" s="473"/>
    </row>
    <row r="78" spans="1:23" s="108" customFormat="1" ht="17.100000000000001" customHeight="1">
      <c r="A78" s="106"/>
      <c r="B78" s="106"/>
      <c r="C78" s="41"/>
      <c r="D78" s="248" t="s">
        <v>188</v>
      </c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Q78" s="107"/>
      <c r="R78" s="107"/>
      <c r="S78" s="107"/>
      <c r="T78" s="107"/>
      <c r="U78" s="107"/>
      <c r="V78" s="106"/>
      <c r="W78" s="473"/>
    </row>
    <row r="79" spans="1:23" s="108" customFormat="1" ht="17.100000000000001" customHeight="1">
      <c r="A79" s="106"/>
      <c r="B79" s="106"/>
      <c r="C79" s="41"/>
      <c r="D79" s="179" t="s">
        <v>186</v>
      </c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Q79" s="107"/>
      <c r="R79" s="107"/>
      <c r="S79" s="107"/>
      <c r="T79" s="107"/>
      <c r="U79" s="107"/>
      <c r="V79" s="106"/>
      <c r="W79" s="473"/>
    </row>
    <row r="80" spans="1:23" s="106" customFormat="1" ht="17.100000000000001" customHeight="1">
      <c r="C80" s="41"/>
      <c r="D80" s="179" t="s">
        <v>187</v>
      </c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108"/>
      <c r="Q80" s="107"/>
      <c r="R80" s="107"/>
      <c r="S80" s="107"/>
      <c r="T80" s="107"/>
      <c r="U80" s="107"/>
      <c r="W80" s="473"/>
    </row>
    <row r="81" spans="1:24" s="106" customFormat="1" ht="17.100000000000001" customHeight="1">
      <c r="C81" s="41"/>
      <c r="D81" s="41" t="s">
        <v>190</v>
      </c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108"/>
      <c r="Q81" s="107"/>
      <c r="R81" s="107"/>
      <c r="S81" s="107"/>
      <c r="T81" s="107"/>
      <c r="U81" s="107"/>
      <c r="W81" s="473"/>
    </row>
    <row r="82" spans="1:24" s="106" customFormat="1" ht="17.100000000000001" customHeight="1">
      <c r="C82" s="41"/>
      <c r="D82" s="179" t="s">
        <v>189</v>
      </c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108"/>
      <c r="Q82" s="107"/>
      <c r="R82" s="107"/>
      <c r="S82" s="107"/>
      <c r="T82" s="107"/>
      <c r="U82" s="107"/>
      <c r="W82" s="473"/>
    </row>
    <row r="83" spans="1:24" s="106" customFormat="1" ht="17.100000000000001" customHeight="1">
      <c r="C83" s="41"/>
      <c r="D83" s="71" t="s">
        <v>191</v>
      </c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108"/>
      <c r="Q83" s="107"/>
      <c r="R83" s="107"/>
      <c r="S83" s="107"/>
      <c r="T83" s="107"/>
      <c r="U83" s="107"/>
      <c r="W83" s="473"/>
    </row>
    <row r="84" spans="1:24" s="106" customFormat="1" ht="17.100000000000001" customHeight="1">
      <c r="C84" s="41"/>
      <c r="D84" s="249" t="s">
        <v>192</v>
      </c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108"/>
      <c r="Q84" s="107"/>
      <c r="R84" s="107"/>
      <c r="S84" s="107"/>
      <c r="T84" s="107"/>
      <c r="U84" s="107"/>
      <c r="W84" s="473"/>
    </row>
    <row r="85" spans="1:24" s="106" customFormat="1" ht="17.100000000000001" customHeight="1">
      <c r="C85" s="41"/>
      <c r="D85" s="41" t="s">
        <v>215</v>
      </c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108"/>
      <c r="Q85" s="107"/>
      <c r="R85" s="107"/>
      <c r="S85" s="107"/>
      <c r="T85" s="107"/>
      <c r="U85" s="107"/>
      <c r="W85" s="473"/>
    </row>
    <row r="86" spans="1:24" s="41" customFormat="1" ht="17.100000000000001" customHeight="1">
      <c r="A86" s="106"/>
      <c r="B86" s="106"/>
      <c r="D86" s="264" t="s">
        <v>216</v>
      </c>
      <c r="E86" s="264"/>
      <c r="F86" s="264"/>
      <c r="G86" s="264"/>
      <c r="H86" s="264"/>
      <c r="I86" s="264"/>
      <c r="J86" s="264"/>
      <c r="K86" s="264"/>
      <c r="L86" s="264"/>
      <c r="M86" s="264"/>
      <c r="N86" s="264"/>
      <c r="O86" s="264"/>
      <c r="P86" s="108"/>
      <c r="Q86" s="107"/>
      <c r="R86" s="107"/>
      <c r="S86" s="107"/>
      <c r="T86" s="107"/>
      <c r="U86" s="107"/>
      <c r="V86" s="106"/>
      <c r="W86" s="473"/>
      <c r="X86" s="274"/>
    </row>
    <row r="87" spans="1:24" s="41" customFormat="1" ht="17.100000000000001" customHeight="1">
      <c r="A87" s="106"/>
      <c r="B87" s="106"/>
      <c r="D87" s="264" t="s">
        <v>217</v>
      </c>
      <c r="P87" s="108"/>
      <c r="Q87" s="107"/>
      <c r="R87" s="107"/>
      <c r="S87" s="107"/>
      <c r="T87" s="107"/>
      <c r="U87" s="107"/>
      <c r="V87" s="106"/>
      <c r="W87" s="473"/>
      <c r="X87" s="274"/>
    </row>
    <row r="88" spans="1:24" s="41" customFormat="1" ht="17.100000000000001" customHeight="1">
      <c r="A88" s="106"/>
      <c r="B88" s="106"/>
      <c r="P88" s="108"/>
      <c r="Q88" s="107"/>
      <c r="R88" s="107"/>
      <c r="S88" s="107"/>
      <c r="T88" s="107"/>
      <c r="U88" s="107"/>
      <c r="V88" s="106"/>
      <c r="W88" s="473"/>
      <c r="X88" s="274"/>
    </row>
    <row r="89" spans="1:24" s="41" customFormat="1" ht="17.100000000000001" customHeight="1">
      <c r="A89" s="106"/>
      <c r="B89" s="106"/>
      <c r="P89" s="108"/>
      <c r="Q89" s="107"/>
      <c r="R89" s="107"/>
      <c r="S89" s="107"/>
      <c r="T89" s="107"/>
      <c r="U89" s="107"/>
      <c r="V89" s="106"/>
      <c r="W89" s="473"/>
      <c r="X89" s="274"/>
    </row>
    <row r="90" spans="1:24" s="41" customFormat="1" ht="17.100000000000001" customHeight="1">
      <c r="A90" s="106"/>
      <c r="B90" s="106"/>
      <c r="P90" s="108"/>
      <c r="Q90" s="107"/>
      <c r="R90" s="107"/>
      <c r="S90" s="107"/>
      <c r="T90" s="107"/>
      <c r="U90" s="107"/>
      <c r="V90" s="106"/>
      <c r="W90" s="473"/>
      <c r="X90" s="274"/>
    </row>
    <row r="91" spans="1:24" s="41" customFormat="1" ht="17.100000000000001" customHeight="1">
      <c r="A91" s="106"/>
      <c r="B91" s="106"/>
      <c r="P91" s="108"/>
      <c r="Q91" s="107"/>
      <c r="R91" s="107"/>
      <c r="S91" s="107"/>
      <c r="T91" s="107"/>
      <c r="U91" s="107"/>
      <c r="V91" s="106"/>
      <c r="W91" s="473"/>
      <c r="X91" s="274"/>
    </row>
    <row r="92" spans="1:24" ht="17.100000000000001" customHeight="1"/>
    <row r="93" spans="1:24" ht="17.100000000000001" customHeight="1"/>
  </sheetData>
  <sheetProtection algorithmName="SHA-512" hashValue="fjY90Qdu+afVdu8nKsHVE29dKCvnOyJzP61YnWLq+SF/scCvH1Kc+sIxN2VnePUBVU4oJ9I8kCJaDFR3ayjnMQ==" saltValue="AeltptUFUVyA4rix33iKvQ==" spinCount="100000" sheet="1" objects="1" scenarios="1"/>
  <mergeCells count="50">
    <mergeCell ref="B3:O3"/>
    <mergeCell ref="D7:G7"/>
    <mergeCell ref="K7:N7"/>
    <mergeCell ref="D8:E8"/>
    <mergeCell ref="F8:G8"/>
    <mergeCell ref="K8:M8"/>
    <mergeCell ref="D5:J6"/>
    <mergeCell ref="D9:E9"/>
    <mergeCell ref="F9:G9"/>
    <mergeCell ref="K9:M9"/>
    <mergeCell ref="D10:E10"/>
    <mergeCell ref="F10:G10"/>
    <mergeCell ref="K10:M10"/>
    <mergeCell ref="D11:E11"/>
    <mergeCell ref="F11:G11"/>
    <mergeCell ref="K11:M11"/>
    <mergeCell ref="D12:E12"/>
    <mergeCell ref="F12:G12"/>
    <mergeCell ref="K12:M12"/>
    <mergeCell ref="H22:H23"/>
    <mergeCell ref="C14:C15"/>
    <mergeCell ref="D14:D15"/>
    <mergeCell ref="E14:E15"/>
    <mergeCell ref="F14:F15"/>
    <mergeCell ref="G14:G15"/>
    <mergeCell ref="H14:H15"/>
    <mergeCell ref="C22:C23"/>
    <mergeCell ref="D22:D23"/>
    <mergeCell ref="E22:E23"/>
    <mergeCell ref="F22:F23"/>
    <mergeCell ref="G22:G23"/>
    <mergeCell ref="O27:O31"/>
    <mergeCell ref="K14:K15"/>
    <mergeCell ref="L14:L15"/>
    <mergeCell ref="N14:N15"/>
    <mergeCell ref="O14:O15"/>
    <mergeCell ref="K22:K23"/>
    <mergeCell ref="L22:L23"/>
    <mergeCell ref="N22:N23"/>
    <mergeCell ref="O22:O23"/>
    <mergeCell ref="O24:O26"/>
    <mergeCell ref="O61:O66"/>
    <mergeCell ref="O67:O72"/>
    <mergeCell ref="O73:O74"/>
    <mergeCell ref="O32:O39"/>
    <mergeCell ref="O40:O42"/>
    <mergeCell ref="O43:O45"/>
    <mergeCell ref="O46:O48"/>
    <mergeCell ref="O49:O54"/>
    <mergeCell ref="O55:O60"/>
  </mergeCells>
  <phoneticPr fontId="3" type="noConversion"/>
  <conditionalFormatting sqref="B24:B74">
    <cfRule type="cellIs" dxfId="7" priority="1" operator="lessThan">
      <formula>6</formula>
    </cfRule>
    <cfRule type="cellIs" dxfId="6" priority="6" operator="lessThan">
      <formula>11</formula>
    </cfRule>
    <cfRule type="cellIs" dxfId="5" priority="7" operator="lessThan">
      <formula>21</formula>
    </cfRule>
  </conditionalFormatting>
  <conditionalFormatting sqref="C16:C20">
    <cfRule type="cellIs" dxfId="4" priority="3" operator="lessThan">
      <formula>6</formula>
    </cfRule>
    <cfRule type="cellIs" dxfId="3" priority="4" operator="lessThan">
      <formula>11</formula>
    </cfRule>
    <cfRule type="cellIs" dxfId="2" priority="5" operator="lessThan">
      <formula>21</formula>
    </cfRule>
  </conditionalFormatting>
  <conditionalFormatting sqref="D24:N74">
    <cfRule type="expression" dxfId="1" priority="2">
      <formula>MOD(ROW(),2)=0</formula>
    </cfRule>
  </conditionalFormatting>
  <conditionalFormatting sqref="D24:D74">
    <cfRule type="expression" dxfId="0" priority="8">
      <formula>$C24="O"</formula>
    </cfRule>
  </conditionalFormatting>
  <dataValidations count="4">
    <dataValidation type="list" allowBlank="1" showInputMessage="1" showErrorMessage="1" prompt="LTE 맞춤형요금제에 한해서 부가서비스로의 문자개수를 선택 하십시요. (무료문자50건)_x000a__x000a_문자개수100, 200, 500,700,1000 개에 대해서 각각 1500, 3000, 6000, 8000,10000 원의 부가요금이 청구됩니다." sqref="F12:G12">
      <formula1>"0,100,200,500,700,1000"</formula1>
    </dataValidation>
    <dataValidation type="list" allowBlank="1" showInputMessage="1" showErrorMessage="1" sqref="N8 N10:N12 C24:C74">
      <formula1>"O,X"</formula1>
    </dataValidation>
    <dataValidation type="decimal" allowBlank="1" showInputMessage="1" showErrorMessage="1" sqref="F9:G9">
      <formula1>0</formula1>
      <formula2>100</formula2>
    </dataValidation>
    <dataValidation type="decimal" operator="greaterThanOrEqual" allowBlank="1" showInputMessage="1" showErrorMessage="1" sqref="F10:G11 F8:G8">
      <formula1>0</formula1>
    </dataValidation>
  </dataValidations>
  <pageMargins left="0.7" right="0.7" top="0.75" bottom="0.75" header="0.3" footer="0.3"/>
  <pageSetup paperSize="9" orientation="portrait" horizontalDpi="4294967292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SKT lte요금제</vt:lpstr>
      <vt:lpstr>KT lte요금제</vt:lpstr>
      <vt:lpstr>LG U+ lte요금제</vt:lpstr>
      <vt:lpstr>3사 추천요금제</vt:lpstr>
      <vt:lpstr>참고-SKT</vt:lpstr>
      <vt:lpstr>참고-KT</vt:lpstr>
      <vt:lpstr>참고-LG U+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</dc:creator>
  <cp:lastModifiedBy>Lee</cp:lastModifiedBy>
  <cp:lastPrinted>2014-04-05T13:44:22Z</cp:lastPrinted>
  <dcterms:created xsi:type="dcterms:W3CDTF">2013-04-03T07:49:53Z</dcterms:created>
  <dcterms:modified xsi:type="dcterms:W3CDTF">2014-04-07T18:26:10Z</dcterms:modified>
</cp:coreProperties>
</file>